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608" tabRatio="728"/>
  </bookViews>
  <sheets>
    <sheet name="実績_202401-" sheetId="6" r:id="rId1"/>
  </sheets>
  <calcPr calcId="144525"/>
</workbook>
</file>

<file path=xl/sharedStrings.xml><?xml version="1.0" encoding="utf-8"?>
<sst xmlns="http://schemas.openxmlformats.org/spreadsheetml/2006/main" count="175" uniqueCount="54">
  <si>
    <t>年</t>
  </si>
  <si>
    <t>月</t>
  </si>
  <si>
    <t>記入日</t>
  </si>
  <si>
    <t>金額まとめ</t>
  </si>
  <si>
    <t>合計</t>
  </si>
  <si>
    <t>預金</t>
  </si>
  <si>
    <t>X</t>
  </si>
  <si>
    <t>A銀行</t>
  </si>
  <si>
    <t>B銀行</t>
  </si>
  <si>
    <t>C銀行</t>
  </si>
  <si>
    <t>Y</t>
  </si>
  <si>
    <t>D銀行</t>
  </si>
  <si>
    <t>NISA</t>
  </si>
  <si>
    <t>計</t>
  </si>
  <si>
    <t>小計: 取得金額</t>
  </si>
  <si>
    <t>小計: 損益</t>
  </si>
  <si>
    <t>小計: 損益率</t>
  </si>
  <si>
    <t>つみたてNISA</t>
  </si>
  <si>
    <t>取得金額</t>
  </si>
  <si>
    <t>楽天VTI</t>
  </si>
  <si>
    <t>損益</t>
  </si>
  <si>
    <t>損益率</t>
  </si>
  <si>
    <t>新NISA</t>
  </si>
  <si>
    <t>オルカン</t>
  </si>
  <si>
    <t>特定口座税率</t>
  </si>
  <si>
    <t>特定口座</t>
  </si>
  <si>
    <t>計: 税引後</t>
  </si>
  <si>
    <t>小計: 税引後損益</t>
  </si>
  <si>
    <t>小計: 税引前損益</t>
  </si>
  <si>
    <t>SP500</t>
  </si>
  <si>
    <t>NASDAQ100</t>
  </si>
  <si>
    <t>定年後</t>
  </si>
  <si>
    <t>iDeCo</t>
  </si>
  <si>
    <t>楽天全米INDEX</t>
  </si>
  <si>
    <t>確定拠出年金</t>
  </si>
  <si>
    <t>野村DC外国株式(全世界日本除く)</t>
  </si>
  <si>
    <t>投信取得金額　※iDeCo、確定拠出除く</t>
  </si>
  <si>
    <t>投信損益</t>
  </si>
  <si>
    <t>投信計</t>
  </si>
  <si>
    <t>資産総計　※iDeCo、確定拠出除く</t>
  </si>
  <si>
    <t>計画</t>
  </si>
  <si>
    <t>住宅ローン</t>
  </si>
  <si>
    <t>住宅査定額（イエウールAI査定）</t>
  </si>
  <si>
    <t>純資産</t>
  </si>
  <si>
    <t>ポートフォリオまとめ</t>
  </si>
  <si>
    <t>全体_ポートフォリオ_額</t>
  </si>
  <si>
    <t>VTI</t>
  </si>
  <si>
    <t>NASDAQ</t>
  </si>
  <si>
    <t>全体_ポートフォリオ_割合</t>
  </si>
  <si>
    <t>X_ポートフォリオ_額</t>
  </si>
  <si>
    <t>X_ポートフォリオ_割合</t>
  </si>
  <si>
    <t>Y_ポートフォリオ_額</t>
  </si>
  <si>
    <t>Y_ポートフォリオ_割合</t>
  </si>
  <si>
    <t>　以上　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</si>
</sst>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#,##0_ ;[Red]\-#,##0\ 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_-&quot;\&quot;* #,##0.00_-\ ;\-&quot;\&quot;* #,##0.00_-\ ;_-&quot;\&quot;* &quot;-&quot;??_-\ ;_-@_-"/>
    <numFmt numFmtId="180" formatCode="0.0%"/>
    <numFmt numFmtId="181" formatCode="0.000%"/>
  </numFmts>
  <fonts count="26">
    <font>
      <sz val="11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b/>
      <i/>
      <u/>
      <sz val="18"/>
      <color theme="1"/>
      <name val="游ゴシック"/>
      <charset val="128"/>
      <scheme val="minor"/>
    </font>
    <font>
      <b/>
      <sz val="9"/>
      <color theme="0"/>
      <name val="游ゴシック"/>
      <charset val="128"/>
      <scheme val="minor"/>
    </font>
    <font>
      <sz val="9"/>
      <name val="游ゴシック"/>
      <charset val="128"/>
      <scheme val="minor"/>
    </font>
    <font>
      <sz val="11"/>
      <name val="游ゴシック"/>
      <charset val="128"/>
      <scheme val="minor"/>
    </font>
    <font>
      <sz val="11"/>
      <color rgb="FFFA7D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b/>
      <sz val="11"/>
      <color theme="1"/>
      <name val="游ゴシック"/>
      <charset val="0"/>
      <scheme val="minor"/>
    </font>
    <font>
      <sz val="11"/>
      <color rgb="FF9C0006"/>
      <name val="游ゴシック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5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6" borderId="3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5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Border="1">
      <alignment vertical="center"/>
    </xf>
    <xf numFmtId="0" fontId="2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177" fontId="0" fillId="0" borderId="1" xfId="0" applyNumberFormat="1" applyBorder="1">
      <alignment vertical="center"/>
    </xf>
    <xf numFmtId="0" fontId="1" fillId="5" borderId="1" xfId="0" applyFont="1" applyFill="1" applyBorder="1">
      <alignment vertical="center"/>
    </xf>
    <xf numFmtId="0" fontId="1" fillId="6" borderId="1" xfId="0" applyFont="1" applyFill="1" applyBorder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1" fillId="7" borderId="1" xfId="0" applyFont="1" applyFill="1" applyBorder="1">
      <alignment vertical="center"/>
    </xf>
    <xf numFmtId="180" fontId="0" fillId="7" borderId="1" xfId="7" applyNumberFormat="1" applyFont="1" applyFill="1" applyBorder="1">
      <alignment vertical="center"/>
    </xf>
    <xf numFmtId="0" fontId="1" fillId="8" borderId="1" xfId="0" applyFont="1" applyFill="1" applyBorder="1">
      <alignment vertical="center"/>
    </xf>
    <xf numFmtId="181" fontId="1" fillId="8" borderId="1" xfId="7" applyNumberFormat="1" applyFont="1" applyFill="1" applyBorder="1">
      <alignment vertical="center"/>
    </xf>
    <xf numFmtId="0" fontId="0" fillId="9" borderId="1" xfId="0" applyFill="1" applyBorder="1">
      <alignment vertical="center"/>
    </xf>
    <xf numFmtId="176" fontId="0" fillId="0" borderId="1" xfId="3" applyFont="1" applyBorder="1">
      <alignment vertical="center"/>
    </xf>
    <xf numFmtId="0" fontId="3" fillId="10" borderId="1" xfId="0" applyFont="1" applyFill="1" applyBorder="1">
      <alignment vertical="center"/>
    </xf>
    <xf numFmtId="0" fontId="4" fillId="10" borderId="1" xfId="0" applyFont="1" applyFill="1" applyBorder="1">
      <alignment vertical="center"/>
    </xf>
    <xf numFmtId="0" fontId="3" fillId="11" borderId="1" xfId="0" applyFont="1" applyFill="1" applyBorder="1">
      <alignment vertical="center"/>
    </xf>
    <xf numFmtId="0" fontId="4" fillId="11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12" borderId="1" xfId="0" applyFont="1" applyFill="1" applyBorder="1">
      <alignment vertical="center"/>
    </xf>
    <xf numFmtId="0" fontId="4" fillId="12" borderId="1" xfId="0" applyFont="1" applyFill="1" applyBorder="1">
      <alignment vertical="center"/>
    </xf>
    <xf numFmtId="177" fontId="0" fillId="12" borderId="1" xfId="0" applyNumberFormat="1" applyFont="1" applyFill="1" applyBorder="1" applyAlignment="1">
      <alignment vertical="center"/>
    </xf>
    <xf numFmtId="0" fontId="3" fillId="13" borderId="1" xfId="0" applyFont="1" applyFill="1" applyBorder="1">
      <alignment vertical="center"/>
    </xf>
    <xf numFmtId="0" fontId="4" fillId="13" borderId="1" xfId="0" applyFont="1" applyFill="1" applyBorder="1">
      <alignment vertical="center"/>
    </xf>
    <xf numFmtId="0" fontId="3" fillId="14" borderId="1" xfId="0" applyFont="1" applyFill="1" applyBorder="1">
      <alignment vertical="center"/>
    </xf>
    <xf numFmtId="0" fontId="4" fillId="14" borderId="1" xfId="0" applyFont="1" applyFill="1" applyBorder="1">
      <alignment vertical="center"/>
    </xf>
    <xf numFmtId="176" fontId="0" fillId="4" borderId="1" xfId="3" applyFont="1" applyFill="1" applyBorder="1">
      <alignment vertical="center"/>
    </xf>
    <xf numFmtId="9" fontId="0" fillId="0" borderId="1" xfId="7" applyFont="1" applyBorder="1">
      <alignment vertical="center"/>
    </xf>
    <xf numFmtId="0" fontId="1" fillId="15" borderId="1" xfId="0" applyFont="1" applyFill="1" applyBorder="1">
      <alignment vertical="center"/>
    </xf>
    <xf numFmtId="0" fontId="0" fillId="15" borderId="1" xfId="0" applyFill="1" applyBorder="1">
      <alignment vertical="center"/>
    </xf>
    <xf numFmtId="176" fontId="0" fillId="15" borderId="1" xfId="3" applyFont="1" applyFill="1" applyBorder="1">
      <alignment vertical="center"/>
    </xf>
    <xf numFmtId="0" fontId="1" fillId="16" borderId="1" xfId="0" applyFont="1" applyFill="1" applyBorder="1">
      <alignment vertical="center"/>
    </xf>
    <xf numFmtId="0" fontId="0" fillId="16" borderId="1" xfId="0" applyFill="1" applyBorder="1">
      <alignment vertical="center"/>
    </xf>
    <xf numFmtId="176" fontId="0" fillId="16" borderId="1" xfId="3" applyFont="1" applyFill="1" applyBorder="1">
      <alignment vertical="center"/>
    </xf>
    <xf numFmtId="0" fontId="2" fillId="0" borderId="1" xfId="0" applyFont="1" applyFill="1" applyBorder="1">
      <alignment vertical="center"/>
    </xf>
    <xf numFmtId="177" fontId="0" fillId="12" borderId="1" xfId="0" applyNumberFormat="1" applyFill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F8B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38730246742"/>
          <c:y val="0.0439384861194328"/>
          <c:w val="0.768505683393402"/>
          <c:h val="0.5614939085280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'実績_202401-'!$B$5</c:f>
              <c:strCache>
                <c:ptCount val="1"/>
                <c:pt idx="0">
                  <c:v>預金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'実績_202401-'!$D$3:$O$3</c:f>
              <c:numCache>
                <c:formatCode>yyyy/m/d</c:formatCode>
                <c:ptCount val="12"/>
                <c:pt idx="0" c:formatCode="yyyy/m/d">
                  <c:v>45325</c:v>
                </c:pt>
                <c:pt idx="1" c:formatCode="yyyy/m/d">
                  <c:v>45353</c:v>
                </c:pt>
                <c:pt idx="2" c:formatCode="yyyy/m/d">
                  <c:v>45384</c:v>
                </c:pt>
                <c:pt idx="3" c:formatCode="yyyy/m/d">
                  <c:v>45414</c:v>
                </c:pt>
                <c:pt idx="4" c:formatCode="yyyy/m/d">
                  <c:v>45446</c:v>
                </c:pt>
                <c:pt idx="5" c:formatCode="yyyy/m/d">
                  <c:v>45475</c:v>
                </c:pt>
                <c:pt idx="6" c:formatCode="yyyy/m/d">
                  <c:v>45506</c:v>
                </c:pt>
              </c:numCache>
            </c:numRef>
          </c:cat>
          <c:val>
            <c:numRef>
              <c:f>'実績_202401-'!$D$5:$O$5</c:f>
              <c:numCache>
                <c:formatCode>#,##0_ ;[Red]\-#,##0\ </c:formatCode>
                <c:ptCount val="12"/>
                <c:pt idx="0">
                  <c:v>11162349</c:v>
                </c:pt>
                <c:pt idx="1">
                  <c:v>11181386</c:v>
                </c:pt>
                <c:pt idx="2">
                  <c:v>14139741</c:v>
                </c:pt>
                <c:pt idx="3">
                  <c:v>14215779</c:v>
                </c:pt>
                <c:pt idx="4">
                  <c:v>14124395</c:v>
                </c:pt>
                <c:pt idx="5" c:formatCode="_ * #,##0_ ;_ * \-#,##0_ ;_ * &quot;-&quot;??_ ;_ @_ ">
                  <c:v>14030525</c:v>
                </c:pt>
                <c:pt idx="6" c:formatCode="_ * #,##0_ ;_ * \-#,##0_ ;_ * &quot;-&quot;??_ ;_ @_ ">
                  <c:v>2891146</c:v>
                </c:pt>
                <c:pt idx="7" c:formatCode="_ * #,##0_ ;_ * \-#,##0_ ;_ * &quot;-&quot;??_ ;_ @_ ">
                  <c:v>0</c:v>
                </c:pt>
                <c:pt idx="8" c:formatCode="_ * #,##0_ ;_ * \-#,##0_ ;_ * &quot;-&quot;??_ ;_ @_ ">
                  <c:v>0</c:v>
                </c:pt>
                <c:pt idx="9" c:formatCode="_ * #,##0_ ;_ * \-#,##0_ ;_ * &quot;-&quot;??_ ;_ @_ ">
                  <c:v>0</c:v>
                </c:pt>
                <c:pt idx="10" c:formatCode="_ * #,##0_ ;_ * \-#,##0_ ;_ * &quot;-&quot;??_ ;_ @_ ">
                  <c:v>0</c:v>
                </c:pt>
                <c:pt idx="11" c:formatCode="_ * #,##0_ ;_ * \-#,##0_ ;_ * &quot;-&quot;??_ ;_ @_ ">
                  <c:v>0</c:v>
                </c:pt>
              </c:numCache>
            </c:numRef>
          </c:val>
        </c:ser>
        <c:ser>
          <c:idx val="5"/>
          <c:order val="1"/>
          <c:tx>
            <c:strRef>
              <c:f>"投信元本"</c:f>
              <c:strCache>
                <c:ptCount val="1"/>
                <c:pt idx="0">
                  <c:v>投信元本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'実績_202401-'!$D$3:$O$3</c:f>
              <c:numCache>
                <c:formatCode>yyyy/m/d</c:formatCode>
                <c:ptCount val="12"/>
                <c:pt idx="0" c:formatCode="yyyy/m/d">
                  <c:v>45325</c:v>
                </c:pt>
                <c:pt idx="1" c:formatCode="yyyy/m/d">
                  <c:v>45353</c:v>
                </c:pt>
                <c:pt idx="2" c:formatCode="yyyy/m/d">
                  <c:v>45384</c:v>
                </c:pt>
                <c:pt idx="3" c:formatCode="yyyy/m/d">
                  <c:v>45414</c:v>
                </c:pt>
                <c:pt idx="4" c:formatCode="yyyy/m/d">
                  <c:v>45446</c:v>
                </c:pt>
                <c:pt idx="5" c:formatCode="yyyy/m/d">
                  <c:v>45475</c:v>
                </c:pt>
                <c:pt idx="6" c:formatCode="yyyy/m/d">
                  <c:v>45506</c:v>
                </c:pt>
              </c:numCache>
            </c:numRef>
          </c:cat>
          <c:val>
            <c:numRef>
              <c:f>'実績_202401-'!$D$74:$O$74</c:f>
              <c:numCache>
                <c:formatCode>#,##0_ ;[Red]\-#,##0\ </c:formatCode>
                <c:ptCount val="12"/>
                <c:pt idx="0">
                  <c:v>24794362</c:v>
                </c:pt>
                <c:pt idx="1">
                  <c:v>24799371</c:v>
                </c:pt>
                <c:pt idx="2">
                  <c:v>25060320</c:v>
                </c:pt>
                <c:pt idx="3">
                  <c:v>25061592</c:v>
                </c:pt>
                <c:pt idx="4">
                  <c:v>25062635</c:v>
                </c:pt>
                <c:pt idx="5" c:formatCode="_ * #,##0_ ;_ * \-#,##0_ ;_ * &quot;-&quot;??_ ;_ @_ ">
                  <c:v>25063517</c:v>
                </c:pt>
                <c:pt idx="6" c:formatCode="_ * #,##0_ ;_ * \-#,##0_ ;_ * &quot;-&quot;??_ ;_ @_ ">
                  <c:v>37020983</c:v>
                </c:pt>
                <c:pt idx="7" c:formatCode="_ * #,##0_ ;_ * \-#,##0_ ;_ * &quot;-&quot;??_ ;_ @_ ">
                  <c:v>0</c:v>
                </c:pt>
                <c:pt idx="8" c:formatCode="_ * #,##0_ ;_ * \-#,##0_ ;_ * &quot;-&quot;??_ ;_ @_ ">
                  <c:v>0</c:v>
                </c:pt>
                <c:pt idx="9" c:formatCode="_ * #,##0_ ;_ * \-#,##0_ ;_ * &quot;-&quot;??_ ;_ @_ ">
                  <c:v>0</c:v>
                </c:pt>
                <c:pt idx="10" c:formatCode="_ * #,##0_ ;_ * \-#,##0_ ;_ * &quot;-&quot;??_ ;_ @_ ">
                  <c:v>0</c:v>
                </c:pt>
                <c:pt idx="11" c:formatCode="_ * #,##0_ ;_ * \-#,##0_ ;_ * &quot;-&quot;??_ ;_ @_ ">
                  <c:v>0</c:v>
                </c:pt>
              </c:numCache>
            </c:numRef>
          </c:val>
        </c:ser>
        <c:ser>
          <c:idx val="2"/>
          <c:order val="2"/>
          <c:tx>
            <c:strRef>
              <c:f>"投信損益"</c:f>
              <c:strCache>
                <c:ptCount val="1"/>
                <c:pt idx="0">
                  <c:v>投信損益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'実績_202401-'!$D$3:$O$3</c:f>
              <c:numCache>
                <c:formatCode>yyyy/m/d</c:formatCode>
                <c:ptCount val="12"/>
                <c:pt idx="0" c:formatCode="yyyy/m/d">
                  <c:v>45325</c:v>
                </c:pt>
                <c:pt idx="1" c:formatCode="yyyy/m/d">
                  <c:v>45353</c:v>
                </c:pt>
                <c:pt idx="2" c:formatCode="yyyy/m/d">
                  <c:v>45384</c:v>
                </c:pt>
                <c:pt idx="3" c:formatCode="yyyy/m/d">
                  <c:v>45414</c:v>
                </c:pt>
                <c:pt idx="4" c:formatCode="yyyy/m/d">
                  <c:v>45446</c:v>
                </c:pt>
                <c:pt idx="5" c:formatCode="yyyy/m/d">
                  <c:v>45475</c:v>
                </c:pt>
                <c:pt idx="6" c:formatCode="yyyy/m/d">
                  <c:v>45506</c:v>
                </c:pt>
              </c:numCache>
            </c:numRef>
          </c:cat>
          <c:val>
            <c:numRef>
              <c:f>'実績_202401-'!$D$75:$O$75</c:f>
              <c:numCache>
                <c:formatCode>#,##0_ ;[Red]\-#,##0\ </c:formatCode>
                <c:ptCount val="12"/>
                <c:pt idx="0">
                  <c:v>1387606.5122</c:v>
                </c:pt>
                <c:pt idx="1">
                  <c:v>2810635.64715</c:v>
                </c:pt>
                <c:pt idx="2">
                  <c:v>3751716.18185</c:v>
                </c:pt>
                <c:pt idx="3">
                  <c:v>3815574.3578</c:v>
                </c:pt>
                <c:pt idx="4">
                  <c:v>4645264.4933</c:v>
                </c:pt>
                <c:pt idx="5" c:formatCode="_ * #,##0_ ;_ * \-#,##0_ ;_ * &quot;-&quot;??_ ;_ @_ ">
                  <c:v>6464799.78535</c:v>
                </c:pt>
                <c:pt idx="6" c:formatCode="_ * #,##0_ ;_ * \-#,##0_ ;_ * &quot;-&quot;??_ ;_ @_ ">
                  <c:v>4151653.74795</c:v>
                </c:pt>
                <c:pt idx="7" c:formatCode="_ * #,##0_ ;_ * \-#,##0_ ;_ * &quot;-&quot;??_ ;_ @_ ">
                  <c:v>0</c:v>
                </c:pt>
                <c:pt idx="8" c:formatCode="_ * #,##0_ ;_ * \-#,##0_ ;_ * &quot;-&quot;??_ ;_ @_ ">
                  <c:v>0</c:v>
                </c:pt>
                <c:pt idx="9" c:formatCode="_ * #,##0_ ;_ * \-#,##0_ ;_ * &quot;-&quot;??_ ;_ @_ ">
                  <c:v>0</c:v>
                </c:pt>
                <c:pt idx="10" c:formatCode="_ * #,##0_ ;_ * \-#,##0_ ;_ * &quot;-&quot;??_ ;_ @_ ">
                  <c:v>0</c:v>
                </c:pt>
                <c:pt idx="11" c:formatCode="_ * #,##0_ ;_ * \-#,##0_ ;_ * &quot;-&quot;??_ ;_ @_ 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84214"/>
        <c:axId val="729104277"/>
      </c:barChart>
      <c:lineChart>
        <c:grouping val="standard"/>
        <c:varyColors val="0"/>
        <c:ser>
          <c:idx val="0"/>
          <c:order val="3"/>
          <c:tx>
            <c:strRef>
              <c:f>'実績_202401-'!$A$81</c:f>
              <c:strCache>
                <c:ptCount val="1"/>
                <c:pt idx="0">
                  <c:v>純資産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rgbClr val="14CD68"/>
                  </a:gs>
                  <a:gs pos="100000">
                    <a:srgbClr val="035C7D"/>
                  </a:gs>
                </a:gsLst>
                <a:lin ang="5400000" scaled="0"/>
              </a:gradFill>
              <a:ln w="9525">
                <a:noFill/>
              </a:ln>
              <a:effectLst/>
            </c:spPr>
          </c:marker>
          <c:dLbls>
            <c:delete val="1"/>
          </c:dLbls>
          <c:cat>
            <c:numRef>
              <c:f>'実績_202401-'!$D$3:$O$3</c:f>
              <c:numCache>
                <c:formatCode>yyyy/m/d</c:formatCode>
                <c:ptCount val="12"/>
                <c:pt idx="0" c:formatCode="yyyy/m/d">
                  <c:v>45325</c:v>
                </c:pt>
                <c:pt idx="1" c:formatCode="yyyy/m/d">
                  <c:v>45353</c:v>
                </c:pt>
                <c:pt idx="2" c:formatCode="yyyy/m/d">
                  <c:v>45384</c:v>
                </c:pt>
                <c:pt idx="3" c:formatCode="yyyy/m/d">
                  <c:v>45414</c:v>
                </c:pt>
                <c:pt idx="4" c:formatCode="yyyy/m/d">
                  <c:v>45446</c:v>
                </c:pt>
                <c:pt idx="5" c:formatCode="yyyy/m/d">
                  <c:v>45475</c:v>
                </c:pt>
                <c:pt idx="6" c:formatCode="yyyy/m/d">
                  <c:v>45506</c:v>
                </c:pt>
              </c:numCache>
            </c:numRef>
          </c:cat>
          <c:val>
            <c:numRef>
              <c:f>'実績_202401-'!$D$81:$O$81</c:f>
              <c:numCache>
                <c:formatCode>#,##0_ ;[Red]\-#,##0\ </c:formatCode>
                <c:ptCount val="12"/>
                <c:pt idx="4">
                  <c:v>17099177.4933</c:v>
                </c:pt>
                <c:pt idx="5">
                  <c:v>19008240.78535</c:v>
                </c:pt>
                <c:pt idx="6" c:formatCode="_ * #,##0_ ;_ * \-#,##0_ ;_ * &quot;-&quot;??_ ;_ @_ ">
                  <c:v>17563789.74795</c:v>
                </c:pt>
                <c:pt idx="7" c:formatCode="_ * #,##0_ ;_ * \-#,##0_ ;_ * &quot;-&quot;??_ ;_ @_ ">
                  <c:v>0</c:v>
                </c:pt>
                <c:pt idx="8" c:formatCode="_ * #,##0_ ;_ * \-#,##0_ ;_ * &quot;-&quot;??_ ;_ @_ ">
                  <c:v>0</c:v>
                </c:pt>
                <c:pt idx="9" c:formatCode="_ * #,##0_ ;_ * \-#,##0_ ;_ * &quot;-&quot;??_ ;_ @_ ">
                  <c:v>0</c:v>
                </c:pt>
                <c:pt idx="10" c:formatCode="_ * #,##0_ ;_ * \-#,##0_ ;_ * &quot;-&quot;??_ ;_ @_ ">
                  <c:v>0</c:v>
                </c:pt>
                <c:pt idx="11" c:formatCode="_ * #,##0_ ;_ * \-#,##0_ ;_ * &quot;-&quot;??_ ;_ @_ ">
                  <c:v>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'実績_202401-'!$A$78</c:f>
              <c:strCache>
                <c:ptCount val="1"/>
                <c:pt idx="0">
                  <c:v>計画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rgbClr val="E30000"/>
                  </a:gs>
                  <a:gs pos="100000">
                    <a:srgbClr val="760303"/>
                  </a:gs>
                </a:gsLst>
                <a:lin ang="5400000" scaled="0"/>
              </a:gradFill>
              <a:ln w="9525">
                <a:noFill/>
              </a:ln>
              <a:effectLst/>
            </c:spPr>
          </c:marker>
          <c:dLbls>
            <c:delete val="1"/>
          </c:dLbls>
          <c:cat>
            <c:numRef>
              <c:f>'実績_202401-'!$D$3:$O$3</c:f>
              <c:numCache>
                <c:formatCode>yyyy/m/d</c:formatCode>
                <c:ptCount val="12"/>
                <c:pt idx="0" c:formatCode="yyyy/m/d">
                  <c:v>45325</c:v>
                </c:pt>
                <c:pt idx="1" c:formatCode="yyyy/m/d">
                  <c:v>45353</c:v>
                </c:pt>
                <c:pt idx="2" c:formatCode="yyyy/m/d">
                  <c:v>45384</c:v>
                </c:pt>
                <c:pt idx="3" c:formatCode="yyyy/m/d">
                  <c:v>45414</c:v>
                </c:pt>
                <c:pt idx="4" c:formatCode="yyyy/m/d">
                  <c:v>45446</c:v>
                </c:pt>
                <c:pt idx="5" c:formatCode="yyyy/m/d">
                  <c:v>45475</c:v>
                </c:pt>
                <c:pt idx="6" c:formatCode="yyyy/m/d">
                  <c:v>45506</c:v>
                </c:pt>
              </c:numCache>
            </c:numRef>
          </c:cat>
          <c:val>
            <c:numRef>
              <c:f>'実績_202401-'!$D$78:$O$78</c:f>
              <c:numCache>
                <c:formatCode>#,##0_ ;[Red]\-#,##0\ </c:formatCode>
                <c:ptCount val="12"/>
                <c:pt idx="0">
                  <c:v>30410000</c:v>
                </c:pt>
                <c:pt idx="1">
                  <c:v>30880000</c:v>
                </c:pt>
                <c:pt idx="2">
                  <c:v>31350000</c:v>
                </c:pt>
                <c:pt idx="3">
                  <c:v>31820000</c:v>
                </c:pt>
                <c:pt idx="4">
                  <c:v>32290000</c:v>
                </c:pt>
                <c:pt idx="5">
                  <c:v>32760000</c:v>
                </c:pt>
                <c:pt idx="6">
                  <c:v>33230000</c:v>
                </c:pt>
                <c:pt idx="7">
                  <c:v>33700000</c:v>
                </c:pt>
                <c:pt idx="8">
                  <c:v>34170000</c:v>
                </c:pt>
                <c:pt idx="9">
                  <c:v>34640000</c:v>
                </c:pt>
                <c:pt idx="10">
                  <c:v>35110000</c:v>
                </c:pt>
                <c:pt idx="11">
                  <c:v>35580000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'実績_202401-'!$A$79</c:f>
              <c:strCache>
                <c:ptCount val="1"/>
                <c:pt idx="0">
                  <c:v>住宅ローン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cat>
            <c:numRef>
              <c:f>'実績_202401-'!$D$3:$O$3</c:f>
              <c:numCache>
                <c:formatCode>yyyy/m/d</c:formatCode>
                <c:ptCount val="12"/>
                <c:pt idx="0" c:formatCode="yyyy/m/d">
                  <c:v>45325</c:v>
                </c:pt>
                <c:pt idx="1" c:formatCode="yyyy/m/d">
                  <c:v>45353</c:v>
                </c:pt>
                <c:pt idx="2" c:formatCode="yyyy/m/d">
                  <c:v>45384</c:v>
                </c:pt>
                <c:pt idx="3" c:formatCode="yyyy/m/d">
                  <c:v>45414</c:v>
                </c:pt>
                <c:pt idx="4" c:formatCode="yyyy/m/d">
                  <c:v>45446</c:v>
                </c:pt>
                <c:pt idx="5" c:formatCode="yyyy/m/d">
                  <c:v>45475</c:v>
                </c:pt>
                <c:pt idx="6" c:formatCode="yyyy/m/d">
                  <c:v>45506</c:v>
                </c:pt>
              </c:numCache>
            </c:numRef>
          </c:cat>
          <c:val>
            <c:numRef>
              <c:f>'実績_202401-'!$D$79:$O$79</c:f>
              <c:numCache>
                <c:formatCode>#,##0_ ;[Red]\-#,##0\ </c:formatCode>
                <c:ptCount val="12"/>
                <c:pt idx="4">
                  <c:v>26733117</c:v>
                </c:pt>
                <c:pt idx="5">
                  <c:v>26550601</c:v>
                </c:pt>
                <c:pt idx="6">
                  <c:v>26499993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4214"/>
        <c:axId val="729104277"/>
      </c:lineChart>
      <c:dateAx>
        <c:axId val="118284214"/>
        <c:scaling>
          <c:orientation val="minMax"/>
        </c:scaling>
        <c:delete val="0"/>
        <c:axPos val="b"/>
        <c:numFmt formatCode="[$-411]yyyy&quot;年&quot;m&quot;月&quot;d&quot;日&quot;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29104277"/>
        <c:crosses val="autoZero"/>
        <c:auto val="1"/>
        <c:lblOffset val="100"/>
        <c:baseTimeUnit val="months"/>
      </c:dateAx>
      <c:valAx>
        <c:axId val="72910427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[</a:t>
                </a:r>
                <a:r>
                  <a:rPr lang="ja-JP" altLang="en-US"/>
                  <a:t>円</a:t>
                </a:r>
                <a:r>
                  <a:rPr lang="en-US" altLang="ja-JP"/>
                  <a:t>]</a:t>
                </a:r>
                <a:endParaRPr lang="en-US" alt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8284214"/>
        <c:crosses val="autoZero"/>
        <c:crossBetween val="between"/>
        <c:dispUnits>
          <c:builtInUnit val="ten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0" vertOverflow="ellipsis" vert="horz" wrap="square" anchor="ctr" anchorCtr="1">
                <a:spAutoFit/>
              </a:bodyPr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ポートフォリオ</a:t>
            </a:r>
            <a:r>
              <a:rPr lang="en-US" altLang="ja-JP"/>
              <a:t>_Y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'実績_202401-'!$A$117:$A$120</c:f>
              <c:strCache>
                <c:ptCount val="4"/>
                <c:pt idx="0" c:formatCode="General">
                  <c:v>預金</c:v>
                </c:pt>
                <c:pt idx="1" c:formatCode="General">
                  <c:v>オルカン</c:v>
                </c:pt>
                <c:pt idx="2" c:formatCode="General">
                  <c:v>SP500</c:v>
                </c:pt>
                <c:pt idx="3" c:formatCode="General">
                  <c:v>VTI</c:v>
                </c:pt>
              </c:strCache>
            </c:strRef>
          </c:cat>
          <c:val>
            <c:numRef>
              <c:f>'実績_202401-'!$J$117:$J$120</c:f>
              <c:numCache>
                <c:formatCode>0%</c:formatCode>
                <c:ptCount val="4"/>
                <c:pt idx="0">
                  <c:v>0.0942283605259368</c:v>
                </c:pt>
                <c:pt idx="1">
                  <c:v>0.151149174133086</c:v>
                </c:pt>
                <c:pt idx="2">
                  <c:v>0.695442727909759</c:v>
                </c:pt>
                <c:pt idx="3">
                  <c:v>0.0591797374312181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sz="1400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ポートフォリオ</a:t>
            </a:r>
            <a:r>
              <a:rPr lang="en-US" altLang="ja-JP"/>
              <a:t>_</a:t>
            </a:r>
            <a:r>
              <a:rPr lang="ja-JP" altLang="en-US"/>
              <a:t>全体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'実績_202401-'!$A$92:$A$96</c:f>
              <c:strCache>
                <c:ptCount val="5"/>
                <c:pt idx="0" c:formatCode="General">
                  <c:v>預金</c:v>
                </c:pt>
                <c:pt idx="1" c:formatCode="General">
                  <c:v>オルカン</c:v>
                </c:pt>
                <c:pt idx="2" c:formatCode="General">
                  <c:v>SP500</c:v>
                </c:pt>
                <c:pt idx="3" c:formatCode="General">
                  <c:v>VTI</c:v>
                </c:pt>
                <c:pt idx="4" c:formatCode="General">
                  <c:v>NASDAQ</c:v>
                </c:pt>
              </c:strCache>
            </c:strRef>
          </c:cat>
          <c:val>
            <c:numRef>
              <c:f>'実績_202401-'!$J$92:$J$96</c:f>
              <c:numCache>
                <c:formatCode>0%</c:formatCode>
                <c:ptCount val="5"/>
                <c:pt idx="0">
                  <c:v>0.0656127508738343</c:v>
                </c:pt>
                <c:pt idx="1">
                  <c:v>0.193871371617486</c:v>
                </c:pt>
                <c:pt idx="2">
                  <c:v>0.630910771096777</c:v>
                </c:pt>
                <c:pt idx="3">
                  <c:v>0.076796612742183</c:v>
                </c:pt>
                <c:pt idx="4">
                  <c:v>0.0328084936697192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sz="1400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ポートフォリオ</a:t>
            </a:r>
            <a:r>
              <a:rPr lang="en-US" altLang="ja-JP"/>
              <a:t>_X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ja-JP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'実績_202401-'!$A$105:$A$109</c:f>
              <c:strCache>
                <c:ptCount val="5"/>
                <c:pt idx="0" c:formatCode="General">
                  <c:v>預金</c:v>
                </c:pt>
                <c:pt idx="1" c:formatCode="General">
                  <c:v>オルカン</c:v>
                </c:pt>
                <c:pt idx="2" c:formatCode="General">
                  <c:v>SP500</c:v>
                </c:pt>
                <c:pt idx="3" c:formatCode="General">
                  <c:v>VTI</c:v>
                </c:pt>
                <c:pt idx="4" c:formatCode="General">
                  <c:v>NASDAQ</c:v>
                </c:pt>
              </c:strCache>
            </c:strRef>
          </c:cat>
          <c:val>
            <c:numRef>
              <c:f>'実績_202401-'!$J$105:$J$109</c:f>
              <c:numCache>
                <c:formatCode>0%</c:formatCode>
                <c:ptCount val="5"/>
                <c:pt idx="0">
                  <c:v>0.133888031674482</c:v>
                </c:pt>
                <c:pt idx="1">
                  <c:v>0.23750686637253</c:v>
                </c:pt>
                <c:pt idx="2">
                  <c:v>0.453047805118965</c:v>
                </c:pt>
                <c:pt idx="3">
                  <c:v>0.0951716013402871</c:v>
                </c:pt>
                <c:pt idx="4">
                  <c:v>0.0803856954937351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sz="1400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0</xdr:colOff>
      <xdr:row>4</xdr:row>
      <xdr:rowOff>0</xdr:rowOff>
    </xdr:from>
    <xdr:to>
      <xdr:col>20</xdr:col>
      <xdr:colOff>88900</xdr:colOff>
      <xdr:row>17</xdr:row>
      <xdr:rowOff>133350</xdr:rowOff>
    </xdr:to>
    <xdr:graphicFrame>
      <xdr:nvGraphicFramePr>
        <xdr:cNvPr id="3" name="グラフ 2"/>
        <xdr:cNvGraphicFramePr/>
      </xdr:nvGraphicFramePr>
      <xdr:xfrm>
        <a:off x="12646660" y="1051560"/>
        <a:ext cx="4572000" cy="297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110</xdr:row>
      <xdr:rowOff>0</xdr:rowOff>
    </xdr:from>
    <xdr:to>
      <xdr:col>20</xdr:col>
      <xdr:colOff>95250</xdr:colOff>
      <xdr:row>122</xdr:row>
      <xdr:rowOff>0</xdr:rowOff>
    </xdr:to>
    <xdr:graphicFrame>
      <xdr:nvGraphicFramePr>
        <xdr:cNvPr id="6" name="グラフ 5"/>
        <xdr:cNvGraphicFramePr/>
      </xdr:nvGraphicFramePr>
      <xdr:xfrm>
        <a:off x="12646660" y="24486870"/>
        <a:ext cx="45783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15</xdr:col>
      <xdr:colOff>95250</xdr:colOff>
      <xdr:row>96</xdr:row>
      <xdr:rowOff>0</xdr:rowOff>
    </xdr:to>
    <xdr:graphicFrame>
      <xdr:nvGraphicFramePr>
        <xdr:cNvPr id="2" name="グラフ 1"/>
        <xdr:cNvGraphicFramePr/>
      </xdr:nvGraphicFramePr>
      <xdr:xfrm>
        <a:off x="8163560" y="18809970"/>
        <a:ext cx="45783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95250</xdr:colOff>
      <xdr:row>109</xdr:row>
      <xdr:rowOff>0</xdr:rowOff>
    </xdr:to>
    <xdr:graphicFrame>
      <xdr:nvGraphicFramePr>
        <xdr:cNvPr id="7" name="グラフ 6"/>
        <xdr:cNvGraphicFramePr/>
      </xdr:nvGraphicFramePr>
      <xdr:xfrm>
        <a:off x="8163560" y="21648420"/>
        <a:ext cx="457835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BM124"/>
  <sheetViews>
    <sheetView tabSelected="1" zoomScale="70" zoomScaleNormal="70" workbookViewId="0">
      <pane xSplit="3" ySplit="3" topLeftCell="D4" activePane="bottomRight" state="frozen"/>
      <selection/>
      <selection pane="topRight"/>
      <selection pane="bottomLeft"/>
      <selection pane="bottomRight" activeCell="N5" sqref="N5"/>
    </sheetView>
  </sheetViews>
  <sheetFormatPr defaultColWidth="8.825" defaultRowHeight="18"/>
  <cols>
    <col min="1" max="2" width="6.375" style="1" customWidth="1"/>
    <col min="3" max="3" width="11.525" style="2" customWidth="1"/>
    <col min="4" max="4" width="12.1333333333333" style="2" customWidth="1"/>
    <col min="5" max="5" width="11.8916666666667" style="2" customWidth="1"/>
    <col min="6" max="51" width="11.7666666666667" style="2" customWidth="1"/>
    <col min="52" max="52" width="14.2166666666667" style="2" customWidth="1"/>
    <col min="53" max="63" width="11.7666666666667" style="2" customWidth="1"/>
    <col min="64" max="16384" width="8.825" style="2"/>
  </cols>
  <sheetData>
    <row r="1" spans="3:63">
      <c r="C1" s="2" t="s">
        <v>0</v>
      </c>
      <c r="D1" s="3">
        <v>2024</v>
      </c>
      <c r="E1" s="3">
        <v>2024</v>
      </c>
      <c r="F1" s="3">
        <v>2024</v>
      </c>
      <c r="G1" s="3">
        <v>2024</v>
      </c>
      <c r="H1" s="3">
        <v>2024</v>
      </c>
      <c r="I1" s="3">
        <v>2024</v>
      </c>
      <c r="J1" s="3">
        <v>2024</v>
      </c>
      <c r="K1" s="3">
        <v>2024</v>
      </c>
      <c r="L1" s="3">
        <v>2024</v>
      </c>
      <c r="M1" s="3">
        <v>2024</v>
      </c>
      <c r="N1" s="3">
        <v>2024</v>
      </c>
      <c r="O1" s="3">
        <v>2024</v>
      </c>
      <c r="P1" s="18">
        <v>2025</v>
      </c>
      <c r="Q1" s="18">
        <v>2025</v>
      </c>
      <c r="R1" s="18">
        <v>2025</v>
      </c>
      <c r="S1" s="18">
        <v>2025</v>
      </c>
      <c r="T1" s="18">
        <v>2025</v>
      </c>
      <c r="U1" s="18">
        <v>2025</v>
      </c>
      <c r="V1" s="18">
        <v>2025</v>
      </c>
      <c r="W1" s="18">
        <v>2025</v>
      </c>
      <c r="X1" s="18">
        <v>2025</v>
      </c>
      <c r="Y1" s="18">
        <v>2025</v>
      </c>
      <c r="Z1" s="18">
        <v>2025</v>
      </c>
      <c r="AA1" s="18">
        <v>2025</v>
      </c>
      <c r="AB1" s="3">
        <v>2026</v>
      </c>
      <c r="AC1" s="3">
        <v>2026</v>
      </c>
      <c r="AD1" s="3">
        <v>2026</v>
      </c>
      <c r="AE1" s="3">
        <v>2026</v>
      </c>
      <c r="AF1" s="3">
        <v>2026</v>
      </c>
      <c r="AG1" s="3">
        <v>2026</v>
      </c>
      <c r="AH1" s="3">
        <v>2026</v>
      </c>
      <c r="AI1" s="3">
        <v>2026</v>
      </c>
      <c r="AJ1" s="3">
        <v>2026</v>
      </c>
      <c r="AK1" s="3">
        <v>2026</v>
      </c>
      <c r="AL1" s="3">
        <v>2026</v>
      </c>
      <c r="AM1" s="3">
        <v>2026</v>
      </c>
      <c r="AN1" s="18">
        <v>2027</v>
      </c>
      <c r="AO1" s="18">
        <v>2027</v>
      </c>
      <c r="AP1" s="18">
        <v>2027</v>
      </c>
      <c r="AQ1" s="18">
        <v>2027</v>
      </c>
      <c r="AR1" s="18">
        <v>2027</v>
      </c>
      <c r="AS1" s="18">
        <v>2027</v>
      </c>
      <c r="AT1" s="18">
        <v>2027</v>
      </c>
      <c r="AU1" s="18">
        <v>2027</v>
      </c>
      <c r="AV1" s="18">
        <v>2027</v>
      </c>
      <c r="AW1" s="18">
        <v>2027</v>
      </c>
      <c r="AX1" s="18">
        <v>2027</v>
      </c>
      <c r="AY1" s="18">
        <v>2027</v>
      </c>
      <c r="AZ1" s="3">
        <v>2028</v>
      </c>
      <c r="BA1" s="3">
        <v>2028</v>
      </c>
      <c r="BB1" s="3">
        <v>2028</v>
      </c>
      <c r="BC1" s="3">
        <v>2028</v>
      </c>
      <c r="BD1" s="3">
        <v>2028</v>
      </c>
      <c r="BE1" s="3">
        <v>2028</v>
      </c>
      <c r="BF1" s="3">
        <v>2028</v>
      </c>
      <c r="BG1" s="3">
        <v>2028</v>
      </c>
      <c r="BH1" s="3">
        <v>2028</v>
      </c>
      <c r="BI1" s="3">
        <v>2028</v>
      </c>
      <c r="BJ1" s="3">
        <v>2028</v>
      </c>
      <c r="BK1" s="3">
        <v>2028</v>
      </c>
    </row>
    <row r="2" spans="3:63">
      <c r="C2" s="2" t="s">
        <v>1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</v>
      </c>
      <c r="Q2" s="2">
        <v>2</v>
      </c>
      <c r="R2" s="2">
        <v>3</v>
      </c>
      <c r="S2" s="2">
        <v>4</v>
      </c>
      <c r="T2" s="2">
        <v>5</v>
      </c>
      <c r="U2" s="2">
        <v>6</v>
      </c>
      <c r="V2" s="2">
        <v>7</v>
      </c>
      <c r="W2" s="2">
        <v>8</v>
      </c>
      <c r="X2" s="2">
        <v>9</v>
      </c>
      <c r="Y2" s="2">
        <v>10</v>
      </c>
      <c r="Z2" s="2">
        <v>11</v>
      </c>
      <c r="AA2" s="2">
        <v>12</v>
      </c>
      <c r="AB2" s="2">
        <v>1</v>
      </c>
      <c r="AC2" s="2">
        <v>2</v>
      </c>
      <c r="AD2" s="2">
        <v>3</v>
      </c>
      <c r="AE2" s="2">
        <v>4</v>
      </c>
      <c r="AF2" s="2">
        <v>5</v>
      </c>
      <c r="AG2" s="2">
        <v>6</v>
      </c>
      <c r="AH2" s="2">
        <v>7</v>
      </c>
      <c r="AI2" s="2">
        <v>8</v>
      </c>
      <c r="AJ2" s="2">
        <v>9</v>
      </c>
      <c r="AK2" s="2">
        <v>10</v>
      </c>
      <c r="AL2" s="2">
        <v>11</v>
      </c>
      <c r="AM2" s="2">
        <v>12</v>
      </c>
      <c r="AN2" s="2">
        <v>1</v>
      </c>
      <c r="AO2" s="2">
        <v>2</v>
      </c>
      <c r="AP2" s="2">
        <v>3</v>
      </c>
      <c r="AQ2" s="2">
        <v>4</v>
      </c>
      <c r="AR2" s="2">
        <v>5</v>
      </c>
      <c r="AS2" s="2">
        <v>6</v>
      </c>
      <c r="AT2" s="2">
        <v>7</v>
      </c>
      <c r="AU2" s="2">
        <v>8</v>
      </c>
      <c r="AV2" s="2">
        <v>9</v>
      </c>
      <c r="AW2" s="2">
        <v>10</v>
      </c>
      <c r="AX2" s="2">
        <v>11</v>
      </c>
      <c r="AY2" s="2">
        <v>12</v>
      </c>
      <c r="AZ2" s="2">
        <v>1</v>
      </c>
      <c r="BA2" s="2">
        <v>2</v>
      </c>
      <c r="BB2" s="2">
        <v>3</v>
      </c>
      <c r="BC2" s="2">
        <v>4</v>
      </c>
      <c r="BD2" s="2">
        <v>5</v>
      </c>
      <c r="BE2" s="2">
        <v>6</v>
      </c>
      <c r="BF2" s="2">
        <v>7</v>
      </c>
      <c r="BG2" s="2">
        <v>8</v>
      </c>
      <c r="BH2" s="2">
        <v>9</v>
      </c>
      <c r="BI2" s="2">
        <v>10</v>
      </c>
      <c r="BJ2" s="2">
        <v>11</v>
      </c>
      <c r="BK2" s="2">
        <v>12</v>
      </c>
    </row>
    <row r="3" spans="3:65">
      <c r="C3" s="4" t="s">
        <v>2</v>
      </c>
      <c r="D3" s="5">
        <v>45325</v>
      </c>
      <c r="E3" s="5">
        <v>45353</v>
      </c>
      <c r="F3" s="5">
        <v>45384</v>
      </c>
      <c r="G3" s="5">
        <v>45414</v>
      </c>
      <c r="H3" s="5">
        <v>45446</v>
      </c>
      <c r="I3" s="5">
        <v>45475</v>
      </c>
      <c r="J3" s="5">
        <v>45506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ht="28.8" spans="1:65">
      <c r="A4" s="6" t="s">
        <v>3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>
      <c r="A5" s="9" t="s">
        <v>4</v>
      </c>
      <c r="B5" s="7" t="s">
        <v>5</v>
      </c>
      <c r="C5" s="7"/>
      <c r="D5" s="10">
        <f t="shared" ref="D5:I5" si="0">SUM(D6:D10)</f>
        <v>11162349</v>
      </c>
      <c r="E5" s="10">
        <f t="shared" si="0"/>
        <v>11181386</v>
      </c>
      <c r="F5" s="10">
        <f t="shared" si="0"/>
        <v>14139741</v>
      </c>
      <c r="G5" s="10">
        <f t="shared" si="0"/>
        <v>14215779</v>
      </c>
      <c r="H5" s="10">
        <f t="shared" si="0"/>
        <v>14124395</v>
      </c>
      <c r="I5" s="19">
        <f t="shared" si="0"/>
        <v>14030525</v>
      </c>
      <c r="J5" s="19">
        <f t="shared" ref="J5:O5" si="1">SUM(J6:J10)</f>
        <v>2891146</v>
      </c>
      <c r="K5" s="19">
        <f t="shared" si="1"/>
        <v>0</v>
      </c>
      <c r="L5" s="19">
        <f t="shared" si="1"/>
        <v>0</v>
      </c>
      <c r="M5" s="19">
        <f t="shared" si="1"/>
        <v>0</v>
      </c>
      <c r="N5" s="19">
        <f t="shared" si="1"/>
        <v>0</v>
      </c>
      <c r="O5" s="19">
        <f t="shared" si="1"/>
        <v>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>
      <c r="A6" s="11" t="s">
        <v>6</v>
      </c>
      <c r="B6" s="1" t="s">
        <v>5</v>
      </c>
      <c r="C6" s="1" t="s">
        <v>7</v>
      </c>
      <c r="D6" s="10">
        <v>3145496</v>
      </c>
      <c r="E6" s="10">
        <f>707305+2242107+260000</f>
        <v>3209412</v>
      </c>
      <c r="F6" s="10">
        <v>3186325</v>
      </c>
      <c r="G6" s="10">
        <v>3138669</v>
      </c>
      <c r="H6" s="10">
        <v>3296102</v>
      </c>
      <c r="I6" s="10">
        <v>3491792</v>
      </c>
      <c r="J6" s="10">
        <f>434178+1500000</f>
        <v>1934178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>
      <c r="A7" s="11" t="s">
        <v>6</v>
      </c>
      <c r="B7" s="1" t="s">
        <v>5</v>
      </c>
      <c r="C7" s="1" t="s">
        <v>8</v>
      </c>
      <c r="D7" s="10">
        <v>68809</v>
      </c>
      <c r="E7" s="10">
        <v>49463</v>
      </c>
      <c r="F7" s="10">
        <v>638006</v>
      </c>
      <c r="G7" s="10">
        <v>749920</v>
      </c>
      <c r="H7" s="10">
        <v>777198</v>
      </c>
      <c r="I7" s="10">
        <v>504582</v>
      </c>
      <c r="J7" s="10">
        <v>473681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>
      <c r="A8" s="11" t="s">
        <v>6</v>
      </c>
      <c r="B8" s="1" t="s">
        <v>5</v>
      </c>
      <c r="C8" s="1" t="s">
        <v>9</v>
      </c>
      <c r="D8" s="10">
        <v>924221</v>
      </c>
      <c r="E8" s="10">
        <v>1036370</v>
      </c>
      <c r="F8" s="10">
        <v>290421</v>
      </c>
      <c r="G8" s="10">
        <v>264151</v>
      </c>
      <c r="H8" s="10">
        <v>0</v>
      </c>
      <c r="I8" s="10">
        <v>0</v>
      </c>
      <c r="J8" s="10">
        <v>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>
      <c r="A9" s="12" t="s">
        <v>10</v>
      </c>
      <c r="B9" s="1" t="s">
        <v>5</v>
      </c>
      <c r="C9" s="1" t="s">
        <v>7</v>
      </c>
      <c r="D9" s="10">
        <f>6700000+298682</f>
        <v>6998682</v>
      </c>
      <c r="E9" s="10">
        <f>6700000+76000</f>
        <v>6776000</v>
      </c>
      <c r="F9" s="10">
        <f>6700000+3214702</f>
        <v>9914702</v>
      </c>
      <c r="G9" s="10">
        <f>6700000+3252752</f>
        <v>9952752</v>
      </c>
      <c r="H9" s="10">
        <f>6700000+3240808</f>
        <v>9940808</v>
      </c>
      <c r="I9" s="10">
        <f>6700000+3223864</f>
        <v>9923864</v>
      </c>
      <c r="J9" s="10">
        <v>483287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>
      <c r="A10" s="12" t="s">
        <v>10</v>
      </c>
      <c r="B10" s="1" t="s">
        <v>5</v>
      </c>
      <c r="C10" s="1" t="s">
        <v>8</v>
      </c>
      <c r="D10" s="10">
        <v>25141</v>
      </c>
      <c r="E10" s="10">
        <f>110141</f>
        <v>110141</v>
      </c>
      <c r="F10" s="10">
        <v>110287</v>
      </c>
      <c r="G10" s="10">
        <v>110287</v>
      </c>
      <c r="H10" s="10">
        <v>110287</v>
      </c>
      <c r="I10" s="10">
        <v>110287</v>
      </c>
      <c r="J10" s="10">
        <v>0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>
      <c r="A11" s="12" t="s">
        <v>10</v>
      </c>
      <c r="B11" s="1" t="s">
        <v>5</v>
      </c>
      <c r="C11" s="1" t="s">
        <v>9</v>
      </c>
      <c r="D11" s="10">
        <v>3869218</v>
      </c>
      <c r="E11" s="10">
        <f>4323969</f>
        <v>4323969</v>
      </c>
      <c r="F11" s="10">
        <v>1101152</v>
      </c>
      <c r="G11" s="10">
        <v>1567440</v>
      </c>
      <c r="H11" s="10">
        <v>1549718</v>
      </c>
      <c r="I11" s="10">
        <v>1889620</v>
      </c>
      <c r="J11" s="10">
        <v>376418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>
      <c r="A12" s="12" t="s">
        <v>10</v>
      </c>
      <c r="B12" s="1" t="s">
        <v>5</v>
      </c>
      <c r="C12" s="1" t="s">
        <v>11</v>
      </c>
      <c r="D12" s="13">
        <v>1803112</v>
      </c>
      <c r="E12" s="13">
        <v>1803112</v>
      </c>
      <c r="F12" s="13">
        <v>1803112</v>
      </c>
      <c r="G12" s="13">
        <v>1803112</v>
      </c>
      <c r="H12" s="13">
        <v>1803112</v>
      </c>
      <c r="I12" s="13">
        <v>1803112</v>
      </c>
      <c r="J12" s="13">
        <v>1803112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ht="7.5" customHeight="1" spans="3:65"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>
      <c r="A14" s="9" t="s">
        <v>4</v>
      </c>
      <c r="B14" s="9" t="s">
        <v>12</v>
      </c>
      <c r="C14" s="9" t="s">
        <v>13</v>
      </c>
      <c r="D14" s="10">
        <f t="shared" ref="D14:I14" si="2">D15+D16</f>
        <v>10347344</v>
      </c>
      <c r="E14" s="10">
        <f t="shared" si="2"/>
        <v>11001232</v>
      </c>
      <c r="F14" s="10">
        <f t="shared" si="2"/>
        <v>11424470</v>
      </c>
      <c r="G14" s="10">
        <f t="shared" si="2"/>
        <v>11487462</v>
      </c>
      <c r="H14" s="10">
        <f t="shared" si="2"/>
        <v>11826428</v>
      </c>
      <c r="I14" s="10">
        <f t="shared" si="2"/>
        <v>12538188</v>
      </c>
      <c r="J14" s="10">
        <f t="shared" ref="J14:O14" si="3">J15+J16</f>
        <v>11819542</v>
      </c>
      <c r="K14" s="10">
        <f t="shared" si="3"/>
        <v>0</v>
      </c>
      <c r="L14" s="10">
        <f t="shared" si="3"/>
        <v>0</v>
      </c>
      <c r="M14" s="10">
        <f t="shared" si="3"/>
        <v>0</v>
      </c>
      <c r="N14" s="10">
        <f t="shared" si="3"/>
        <v>0</v>
      </c>
      <c r="O14" s="10">
        <f t="shared" si="3"/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>
      <c r="A15" s="9"/>
      <c r="C15" s="1" t="s">
        <v>14</v>
      </c>
      <c r="D15" s="10">
        <f t="shared" ref="D15:I15" si="4">D18+D21+D24+D27</f>
        <v>9300002</v>
      </c>
      <c r="E15" s="10">
        <f t="shared" si="4"/>
        <v>9300002</v>
      </c>
      <c r="F15" s="10">
        <f t="shared" si="4"/>
        <v>9300002</v>
      </c>
      <c r="G15" s="10">
        <f t="shared" si="4"/>
        <v>9300002</v>
      </c>
      <c r="H15" s="10">
        <f t="shared" si="4"/>
        <v>9300002</v>
      </c>
      <c r="I15" s="10">
        <f t="shared" si="4"/>
        <v>9300002</v>
      </c>
      <c r="J15" s="10">
        <f t="shared" ref="J15:O15" si="5">J18+J21+J24+J27</f>
        <v>9300002</v>
      </c>
      <c r="K15" s="10">
        <f t="shared" si="5"/>
        <v>0</v>
      </c>
      <c r="L15" s="10">
        <f t="shared" si="5"/>
        <v>0</v>
      </c>
      <c r="M15" s="10">
        <f t="shared" si="5"/>
        <v>0</v>
      </c>
      <c r="N15" s="10">
        <f t="shared" si="5"/>
        <v>0</v>
      </c>
      <c r="O15" s="10">
        <f t="shared" si="5"/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>
      <c r="A16" s="9"/>
      <c r="C16" s="1" t="s">
        <v>15</v>
      </c>
      <c r="D16" s="10">
        <f t="shared" ref="D16:I16" si="6">D19+D22+D25+D28</f>
        <v>1047342</v>
      </c>
      <c r="E16" s="10">
        <f t="shared" si="6"/>
        <v>1701230</v>
      </c>
      <c r="F16" s="10">
        <f t="shared" si="6"/>
        <v>2124468</v>
      </c>
      <c r="G16" s="10">
        <f t="shared" si="6"/>
        <v>2187460</v>
      </c>
      <c r="H16" s="10">
        <f t="shared" si="6"/>
        <v>2526426</v>
      </c>
      <c r="I16" s="10">
        <f t="shared" si="6"/>
        <v>3238186</v>
      </c>
      <c r="J16" s="10">
        <f t="shared" ref="J16:O16" si="7">J19+J22+J25+J28</f>
        <v>2519540</v>
      </c>
      <c r="K16" s="10">
        <f t="shared" si="7"/>
        <v>0</v>
      </c>
      <c r="L16" s="10">
        <f t="shared" si="7"/>
        <v>0</v>
      </c>
      <c r="M16" s="10">
        <f t="shared" si="7"/>
        <v>0</v>
      </c>
      <c r="N16" s="10">
        <f t="shared" si="7"/>
        <v>0</v>
      </c>
      <c r="O16" s="10">
        <f t="shared" si="7"/>
        <v>0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>
      <c r="A17" s="9"/>
      <c r="B17" s="14"/>
      <c r="C17" s="14" t="s">
        <v>16</v>
      </c>
      <c r="D17" s="15">
        <f t="shared" ref="D17:I17" si="8">D16/D15</f>
        <v>0.112617395136044</v>
      </c>
      <c r="E17" s="15">
        <f t="shared" si="8"/>
        <v>0.18292791764991</v>
      </c>
      <c r="F17" s="15">
        <f t="shared" si="8"/>
        <v>0.228437370228523</v>
      </c>
      <c r="G17" s="15">
        <f t="shared" si="8"/>
        <v>0.235210702105225</v>
      </c>
      <c r="H17" s="15">
        <f t="shared" si="8"/>
        <v>0.271658651256204</v>
      </c>
      <c r="I17" s="15">
        <f t="shared" si="8"/>
        <v>0.34819196813076</v>
      </c>
      <c r="J17" s="15">
        <f t="shared" ref="J17:O17" si="9">J16/J15</f>
        <v>0.270918221307909</v>
      </c>
      <c r="K17" s="15" t="e">
        <f t="shared" si="9"/>
        <v>#DIV/0!</v>
      </c>
      <c r="L17" s="15" t="e">
        <f t="shared" si="9"/>
        <v>#DIV/0!</v>
      </c>
      <c r="M17" s="15" t="e">
        <f t="shared" si="9"/>
        <v>#DIV/0!</v>
      </c>
      <c r="N17" s="15" t="e">
        <f t="shared" si="9"/>
        <v>#DIV/0!</v>
      </c>
      <c r="O17" s="15" t="e">
        <f t="shared" si="9"/>
        <v>#DIV/0!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>
      <c r="A18" s="11" t="s">
        <v>6</v>
      </c>
      <c r="B18" s="1" t="s">
        <v>17</v>
      </c>
      <c r="C18" s="1" t="s">
        <v>18</v>
      </c>
      <c r="D18" s="10">
        <v>1050000</v>
      </c>
      <c r="E18" s="10">
        <v>1050000</v>
      </c>
      <c r="F18" s="10">
        <v>1050000</v>
      </c>
      <c r="G18" s="10">
        <v>1050000</v>
      </c>
      <c r="H18" s="10">
        <v>1050000</v>
      </c>
      <c r="I18" s="10">
        <v>1050000</v>
      </c>
      <c r="J18" s="10">
        <v>1050000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>
      <c r="A19" s="11"/>
      <c r="B19" s="1" t="s">
        <v>19</v>
      </c>
      <c r="C19" s="1" t="s">
        <v>20</v>
      </c>
      <c r="D19" s="10">
        <v>373128</v>
      </c>
      <c r="E19" s="10">
        <v>466789</v>
      </c>
      <c r="F19" s="10">
        <v>527007</v>
      </c>
      <c r="G19" s="10">
        <v>523484</v>
      </c>
      <c r="H19" s="10">
        <v>572808</v>
      </c>
      <c r="I19" s="10">
        <v>683217</v>
      </c>
      <c r="J19" s="10">
        <v>588418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>
      <c r="A20" s="11"/>
      <c r="B20" s="14"/>
      <c r="C20" s="14" t="s">
        <v>21</v>
      </c>
      <c r="D20" s="15">
        <f t="shared" ref="D20:I20" si="10">D19/D18</f>
        <v>0.35536</v>
      </c>
      <c r="E20" s="15">
        <f t="shared" si="10"/>
        <v>0.444560952380952</v>
      </c>
      <c r="F20" s="15">
        <f t="shared" si="10"/>
        <v>0.501911428571429</v>
      </c>
      <c r="G20" s="15">
        <f t="shared" si="10"/>
        <v>0.49855619047619</v>
      </c>
      <c r="H20" s="15">
        <f t="shared" si="10"/>
        <v>0.545531428571429</v>
      </c>
      <c r="I20" s="15">
        <f t="shared" si="10"/>
        <v>0.650682857142857</v>
      </c>
      <c r="J20" s="15">
        <f t="shared" ref="J20:O20" si="11">J19/J18</f>
        <v>0.560398095238095</v>
      </c>
      <c r="K20" s="15" t="e">
        <f t="shared" si="11"/>
        <v>#DIV/0!</v>
      </c>
      <c r="L20" s="15" t="e">
        <f t="shared" si="11"/>
        <v>#DIV/0!</v>
      </c>
      <c r="M20" s="15" t="e">
        <f t="shared" si="11"/>
        <v>#DIV/0!</v>
      </c>
      <c r="N20" s="15" t="e">
        <f t="shared" si="11"/>
        <v>#DIV/0!</v>
      </c>
      <c r="O20" s="15" t="e">
        <f t="shared" si="11"/>
        <v>#DIV/0!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>
      <c r="A21" s="12" t="s">
        <v>10</v>
      </c>
      <c r="B21" s="1" t="s">
        <v>17</v>
      </c>
      <c r="C21" s="1" t="s">
        <v>18</v>
      </c>
      <c r="D21" s="10">
        <v>1050000</v>
      </c>
      <c r="E21" s="10">
        <v>1050000</v>
      </c>
      <c r="F21" s="10">
        <v>1050000</v>
      </c>
      <c r="G21" s="10">
        <v>1050000</v>
      </c>
      <c r="H21" s="10">
        <v>1050000</v>
      </c>
      <c r="I21" s="10">
        <v>1050000</v>
      </c>
      <c r="J21" s="10">
        <v>1050000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>
      <c r="A22" s="12"/>
      <c r="B22" s="1" t="s">
        <v>19</v>
      </c>
      <c r="C22" s="1" t="s">
        <v>20</v>
      </c>
      <c r="D22" s="10">
        <v>373128</v>
      </c>
      <c r="E22" s="10">
        <v>466789</v>
      </c>
      <c r="F22" s="10">
        <v>527007</v>
      </c>
      <c r="G22" s="10">
        <v>523484</v>
      </c>
      <c r="H22" s="10">
        <v>572808</v>
      </c>
      <c r="I22" s="10">
        <v>683217</v>
      </c>
      <c r="J22" s="10">
        <v>588418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>
      <c r="A23" s="12"/>
      <c r="B23" s="14"/>
      <c r="C23" s="14" t="s">
        <v>21</v>
      </c>
      <c r="D23" s="15">
        <f t="shared" ref="D23:I23" si="12">D22/D21</f>
        <v>0.35536</v>
      </c>
      <c r="E23" s="15">
        <f t="shared" si="12"/>
        <v>0.444560952380952</v>
      </c>
      <c r="F23" s="15">
        <f t="shared" si="12"/>
        <v>0.501911428571429</v>
      </c>
      <c r="G23" s="15">
        <f t="shared" si="12"/>
        <v>0.49855619047619</v>
      </c>
      <c r="H23" s="15">
        <f t="shared" si="12"/>
        <v>0.545531428571429</v>
      </c>
      <c r="I23" s="15">
        <f t="shared" si="12"/>
        <v>0.650682857142857</v>
      </c>
      <c r="J23" s="15">
        <f t="shared" ref="J23:O23" si="13">J22/J21</f>
        <v>0.560398095238095</v>
      </c>
      <c r="K23" s="15" t="e">
        <f t="shared" si="13"/>
        <v>#DIV/0!</v>
      </c>
      <c r="L23" s="15" t="e">
        <f t="shared" si="13"/>
        <v>#DIV/0!</v>
      </c>
      <c r="M23" s="15" t="e">
        <f t="shared" si="13"/>
        <v>#DIV/0!</v>
      </c>
      <c r="N23" s="15" t="e">
        <f t="shared" si="13"/>
        <v>#DIV/0!</v>
      </c>
      <c r="O23" s="15" t="e">
        <f t="shared" si="13"/>
        <v>#DIV/0!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>
      <c r="A24" s="11" t="s">
        <v>6</v>
      </c>
      <c r="B24" s="1" t="s">
        <v>22</v>
      </c>
      <c r="C24" s="1" t="s">
        <v>18</v>
      </c>
      <c r="D24" s="10">
        <v>3600001</v>
      </c>
      <c r="E24" s="10">
        <v>3600001</v>
      </c>
      <c r="F24" s="10">
        <v>3600001</v>
      </c>
      <c r="G24" s="10">
        <v>3600001</v>
      </c>
      <c r="H24" s="10">
        <v>3600001</v>
      </c>
      <c r="I24" s="10">
        <v>3600001</v>
      </c>
      <c r="J24" s="10">
        <v>3600001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>
      <c r="A25" s="11"/>
      <c r="B25" s="1" t="s">
        <v>23</v>
      </c>
      <c r="C25" s="1" t="s">
        <v>20</v>
      </c>
      <c r="D25" s="10">
        <f>100362+50181</f>
        <v>150543</v>
      </c>
      <c r="E25" s="10">
        <f>255884+127942</f>
        <v>383826</v>
      </c>
      <c r="F25" s="10">
        <f>356818+178409</f>
        <v>535227</v>
      </c>
      <c r="G25" s="10">
        <f>380164+190082</f>
        <v>570246</v>
      </c>
      <c r="H25" s="10">
        <f>460270+230135</f>
        <v>690405</v>
      </c>
      <c r="I25" s="10">
        <f>623917+311959</f>
        <v>935876</v>
      </c>
      <c r="J25" s="10">
        <f>447568+223784</f>
        <v>671352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5">
      <c r="A26" s="11"/>
      <c r="B26" s="14"/>
      <c r="C26" s="14" t="s">
        <v>21</v>
      </c>
      <c r="D26" s="15">
        <f t="shared" ref="D26:I26" si="14">D25/D24</f>
        <v>0.041817488384031</v>
      </c>
      <c r="E26" s="15">
        <f t="shared" si="14"/>
        <v>0.106618303717138</v>
      </c>
      <c r="F26" s="15">
        <f t="shared" si="14"/>
        <v>0.148674125368299</v>
      </c>
      <c r="G26" s="15">
        <f t="shared" si="14"/>
        <v>0.158401622666216</v>
      </c>
      <c r="H26" s="15">
        <f t="shared" si="14"/>
        <v>0.191779113394691</v>
      </c>
      <c r="I26" s="15">
        <f t="shared" si="14"/>
        <v>0.259965483342921</v>
      </c>
      <c r="J26" s="15">
        <f t="shared" ref="J26:O26" si="15">J25/J24</f>
        <v>0.186486614864829</v>
      </c>
      <c r="K26" s="15" t="e">
        <f t="shared" si="15"/>
        <v>#DIV/0!</v>
      </c>
      <c r="L26" s="15" t="e">
        <f t="shared" si="15"/>
        <v>#DIV/0!</v>
      </c>
      <c r="M26" s="15" t="e">
        <f t="shared" si="15"/>
        <v>#DIV/0!</v>
      </c>
      <c r="N26" s="15" t="e">
        <f t="shared" si="15"/>
        <v>#DIV/0!</v>
      </c>
      <c r="O26" s="15" t="e">
        <f t="shared" si="15"/>
        <v>#DIV/0!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spans="1:65">
      <c r="A27" s="12" t="s">
        <v>10</v>
      </c>
      <c r="B27" s="1" t="s">
        <v>22</v>
      </c>
      <c r="C27" s="1" t="s">
        <v>18</v>
      </c>
      <c r="D27" s="10">
        <v>3600001</v>
      </c>
      <c r="E27" s="10">
        <v>3600001</v>
      </c>
      <c r="F27" s="10">
        <v>3600001</v>
      </c>
      <c r="G27" s="10">
        <v>3600001</v>
      </c>
      <c r="H27" s="10">
        <v>3600001</v>
      </c>
      <c r="I27" s="10">
        <v>3600001</v>
      </c>
      <c r="J27" s="10">
        <v>3600001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</row>
    <row r="28" spans="1:65">
      <c r="A28" s="12"/>
      <c r="B28" s="1" t="s">
        <v>23</v>
      </c>
      <c r="C28" s="1" t="s">
        <v>20</v>
      </c>
      <c r="D28" s="10">
        <f>100362+50181</f>
        <v>150543</v>
      </c>
      <c r="E28" s="10">
        <f>255884+127942</f>
        <v>383826</v>
      </c>
      <c r="F28" s="10">
        <f>356818+178409</f>
        <v>535227</v>
      </c>
      <c r="G28" s="10">
        <f>380164+190082</f>
        <v>570246</v>
      </c>
      <c r="H28" s="10">
        <f>460270+230135</f>
        <v>690405</v>
      </c>
      <c r="I28" s="10">
        <f>623917+311959</f>
        <v>935876</v>
      </c>
      <c r="J28" s="10">
        <f>447568+223784</f>
        <v>671352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1:65">
      <c r="A29" s="12"/>
      <c r="B29" s="14"/>
      <c r="C29" s="14" t="s">
        <v>21</v>
      </c>
      <c r="D29" s="15">
        <f t="shared" ref="D29:I29" si="16">D28/D27</f>
        <v>0.041817488384031</v>
      </c>
      <c r="E29" s="15">
        <f t="shared" si="16"/>
        <v>0.106618303717138</v>
      </c>
      <c r="F29" s="15">
        <f t="shared" si="16"/>
        <v>0.148674125368299</v>
      </c>
      <c r="G29" s="15">
        <f t="shared" si="16"/>
        <v>0.158401622666216</v>
      </c>
      <c r="H29" s="15">
        <f t="shared" si="16"/>
        <v>0.191779113394691</v>
      </c>
      <c r="I29" s="15">
        <f t="shared" si="16"/>
        <v>0.259965483342921</v>
      </c>
      <c r="J29" s="15">
        <f t="shared" ref="J29:O29" si="17">J28/J27</f>
        <v>0.186486614864829</v>
      </c>
      <c r="K29" s="15" t="e">
        <f t="shared" si="17"/>
        <v>#DIV/0!</v>
      </c>
      <c r="L29" s="15" t="e">
        <f t="shared" si="17"/>
        <v>#DIV/0!</v>
      </c>
      <c r="M29" s="15" t="e">
        <f t="shared" si="17"/>
        <v>#DIV/0!</v>
      </c>
      <c r="N29" s="15" t="e">
        <f t="shared" si="17"/>
        <v>#DIV/0!</v>
      </c>
      <c r="O29" s="15" t="e">
        <f t="shared" si="17"/>
        <v>#DIV/0!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</row>
    <row r="30" ht="7.5" customHeight="1" spans="3:65"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spans="1:65">
      <c r="A31" s="16" t="s">
        <v>24</v>
      </c>
      <c r="B31" s="16"/>
      <c r="C31" s="17">
        <v>0.20315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</row>
    <row r="32" spans="1:65">
      <c r="A32" s="9" t="s">
        <v>4</v>
      </c>
      <c r="B32" s="9" t="s">
        <v>25</v>
      </c>
      <c r="C32" s="9" t="s">
        <v>26</v>
      </c>
      <c r="D32" s="10">
        <f t="shared" ref="D32:I32" si="18">D33+D34</f>
        <v>15834624.5122</v>
      </c>
      <c r="E32" s="10">
        <f t="shared" si="18"/>
        <v>16608774.64715</v>
      </c>
      <c r="F32" s="10">
        <f t="shared" si="18"/>
        <v>17387566.18185</v>
      </c>
      <c r="G32" s="10">
        <f t="shared" si="18"/>
        <v>17389704.3578</v>
      </c>
      <c r="H32" s="10">
        <f t="shared" si="18"/>
        <v>17881471.4933</v>
      </c>
      <c r="I32" s="19">
        <f t="shared" si="18"/>
        <v>18990128.78535</v>
      </c>
      <c r="J32" s="19">
        <f t="shared" ref="J32:O32" si="19">J33+J34</f>
        <v>29353094.74795</v>
      </c>
      <c r="K32" s="19">
        <f t="shared" si="19"/>
        <v>0</v>
      </c>
      <c r="L32" s="19">
        <f t="shared" si="19"/>
        <v>0</v>
      </c>
      <c r="M32" s="19">
        <f t="shared" si="19"/>
        <v>0</v>
      </c>
      <c r="N32" s="19">
        <f t="shared" si="19"/>
        <v>0</v>
      </c>
      <c r="O32" s="19">
        <f t="shared" si="19"/>
        <v>0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65">
      <c r="A33" s="9"/>
      <c r="C33" s="1" t="s">
        <v>14</v>
      </c>
      <c r="D33" s="10">
        <f t="shared" ref="D33:I33" si="20">D37+D40+D43+D46+D49</f>
        <v>15494360</v>
      </c>
      <c r="E33" s="10">
        <f t="shared" si="20"/>
        <v>15499369</v>
      </c>
      <c r="F33" s="10">
        <f t="shared" si="20"/>
        <v>15760318</v>
      </c>
      <c r="G33" s="10">
        <f t="shared" si="20"/>
        <v>15761590</v>
      </c>
      <c r="H33" s="10">
        <f t="shared" si="20"/>
        <v>15762633</v>
      </c>
      <c r="I33" s="19">
        <f t="shared" si="20"/>
        <v>15763515</v>
      </c>
      <c r="J33" s="19">
        <f t="shared" ref="J33:O33" si="21">J37+J40+J43+J46+J49</f>
        <v>27720981</v>
      </c>
      <c r="K33" s="19">
        <f t="shared" si="21"/>
        <v>0</v>
      </c>
      <c r="L33" s="19">
        <f t="shared" si="21"/>
        <v>0</v>
      </c>
      <c r="M33" s="19">
        <f t="shared" si="21"/>
        <v>0</v>
      </c>
      <c r="N33" s="19">
        <f t="shared" si="21"/>
        <v>0</v>
      </c>
      <c r="O33" s="19">
        <f t="shared" si="21"/>
        <v>0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</row>
    <row r="34" spans="1:65">
      <c r="A34" s="9"/>
      <c r="C34" s="1" t="s">
        <v>27</v>
      </c>
      <c r="D34" s="10">
        <f>D36*(1-$C$31)</f>
        <v>340264.5122</v>
      </c>
      <c r="E34" s="10">
        <f>E36*(1-$C$31)</f>
        <v>1109405.64715</v>
      </c>
      <c r="F34" s="10">
        <f>F36*(1-$C$31)</f>
        <v>1627248.18185</v>
      </c>
      <c r="G34" s="10">
        <f>G36*(1-$C$31)</f>
        <v>1628114.3578</v>
      </c>
      <c r="H34" s="10">
        <f>H36*(1-$C$31)</f>
        <v>2118838.4933</v>
      </c>
      <c r="I34" s="19">
        <f>I36*(1-$C$31)</f>
        <v>3226613.78535</v>
      </c>
      <c r="J34" s="19">
        <f t="shared" ref="J34:O34" si="22">J36*(1-$C$31)</f>
        <v>1632113.74795</v>
      </c>
      <c r="K34" s="19">
        <f t="shared" si="22"/>
        <v>0</v>
      </c>
      <c r="L34" s="19">
        <f t="shared" si="22"/>
        <v>0</v>
      </c>
      <c r="M34" s="19">
        <f t="shared" si="22"/>
        <v>0</v>
      </c>
      <c r="N34" s="19">
        <f t="shared" si="22"/>
        <v>0</v>
      </c>
      <c r="O34" s="19">
        <f t="shared" si="22"/>
        <v>0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</row>
    <row r="35" spans="1:65">
      <c r="A35" s="9"/>
      <c r="B35" s="14"/>
      <c r="C35" s="14" t="s">
        <v>16</v>
      </c>
      <c r="D35" s="15">
        <f t="shared" ref="D35:I35" si="23">D34/D33</f>
        <v>0.0219605399771272</v>
      </c>
      <c r="E35" s="15">
        <f t="shared" si="23"/>
        <v>0.0715774717764317</v>
      </c>
      <c r="F35" s="15">
        <f t="shared" si="23"/>
        <v>0.103249704850499</v>
      </c>
      <c r="G35" s="15">
        <f t="shared" si="23"/>
        <v>0.103296327197954</v>
      </c>
      <c r="H35" s="15">
        <f t="shared" si="23"/>
        <v>0.134421609213385</v>
      </c>
      <c r="I35" s="15">
        <f t="shared" si="23"/>
        <v>0.204688724903678</v>
      </c>
      <c r="J35" s="15">
        <f t="shared" ref="J35:O35" si="24">J34/J33</f>
        <v>0.0588764787202156</v>
      </c>
      <c r="K35" s="15" t="e">
        <f t="shared" si="24"/>
        <v>#DIV/0!</v>
      </c>
      <c r="L35" s="15" t="e">
        <f t="shared" si="24"/>
        <v>#DIV/0!</v>
      </c>
      <c r="M35" s="15" t="e">
        <f t="shared" si="24"/>
        <v>#DIV/0!</v>
      </c>
      <c r="N35" s="15" t="e">
        <f t="shared" si="24"/>
        <v>#DIV/0!</v>
      </c>
      <c r="O35" s="15" t="e">
        <f t="shared" si="24"/>
        <v>#DIV/0!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>
      <c r="A36" s="9"/>
      <c r="C36" s="1" t="s">
        <v>28</v>
      </c>
      <c r="D36" s="10">
        <f t="shared" ref="D36:J36" si="25">D38+D41+D44+D47+D50</f>
        <v>427012</v>
      </c>
      <c r="E36" s="10">
        <f t="shared" si="25"/>
        <v>1392239</v>
      </c>
      <c r="F36" s="10">
        <f t="shared" si="25"/>
        <v>2042101</v>
      </c>
      <c r="G36" s="10">
        <f t="shared" si="25"/>
        <v>2043188</v>
      </c>
      <c r="H36" s="10">
        <f t="shared" si="25"/>
        <v>2659018</v>
      </c>
      <c r="I36" s="10">
        <f t="shared" si="25"/>
        <v>4049211</v>
      </c>
      <c r="J36" s="10">
        <f t="shared" si="25"/>
        <v>2048207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>
      <c r="A37" s="11" t="s">
        <v>6</v>
      </c>
      <c r="B37" s="1" t="s">
        <v>25</v>
      </c>
      <c r="C37" s="1" t="s">
        <v>18</v>
      </c>
      <c r="D37" s="10">
        <v>62100</v>
      </c>
      <c r="E37" s="10">
        <v>62584</v>
      </c>
      <c r="F37" s="10">
        <v>62584</v>
      </c>
      <c r="G37" s="10">
        <v>62584</v>
      </c>
      <c r="H37" s="10">
        <v>62584</v>
      </c>
      <c r="I37" s="10">
        <v>62584</v>
      </c>
      <c r="J37" s="10">
        <v>63675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>
      <c r="A38" s="11"/>
      <c r="B38" s="1" t="s">
        <v>19</v>
      </c>
      <c r="C38" s="1" t="s">
        <v>20</v>
      </c>
      <c r="D38" s="10">
        <v>2146</v>
      </c>
      <c r="E38" s="10">
        <v>6390</v>
      </c>
      <c r="F38" s="10">
        <v>9128</v>
      </c>
      <c r="G38" s="10">
        <v>8968</v>
      </c>
      <c r="H38" s="10">
        <v>11211</v>
      </c>
      <c r="I38" s="10">
        <v>16232</v>
      </c>
      <c r="J38" s="10">
        <v>11903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>
      <c r="A39" s="11"/>
      <c r="B39" s="14"/>
      <c r="C39" s="14" t="s">
        <v>21</v>
      </c>
      <c r="D39" s="15">
        <f t="shared" ref="D39:I39" si="26">D38/D37</f>
        <v>0.0345571658615137</v>
      </c>
      <c r="E39" s="15">
        <f t="shared" si="26"/>
        <v>0.102102773871916</v>
      </c>
      <c r="F39" s="15">
        <f t="shared" si="26"/>
        <v>0.145851974945673</v>
      </c>
      <c r="G39" s="15">
        <f t="shared" si="26"/>
        <v>0.143295410967659</v>
      </c>
      <c r="H39" s="15">
        <f t="shared" si="26"/>
        <v>0.179135242234437</v>
      </c>
      <c r="I39" s="15">
        <f t="shared" si="26"/>
        <v>0.259363415569475</v>
      </c>
      <c r="J39" s="15">
        <f t="shared" ref="J39:O39" si="27">J38/J37</f>
        <v>0.186933647428347</v>
      </c>
      <c r="K39" s="15" t="e">
        <f t="shared" si="27"/>
        <v>#DIV/0!</v>
      </c>
      <c r="L39" s="15" t="e">
        <f t="shared" si="27"/>
        <v>#DIV/0!</v>
      </c>
      <c r="M39" s="15" t="e">
        <f t="shared" si="27"/>
        <v>#DIV/0!</v>
      </c>
      <c r="N39" s="15" t="e">
        <f t="shared" si="27"/>
        <v>#DIV/0!</v>
      </c>
      <c r="O39" s="15" t="e">
        <f t="shared" si="27"/>
        <v>#DIV/0!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>
      <c r="A40" s="12" t="s">
        <v>10</v>
      </c>
      <c r="B40" s="1" t="s">
        <v>25</v>
      </c>
      <c r="C40" s="1" t="s">
        <v>18</v>
      </c>
      <c r="D40" s="10">
        <v>30300</v>
      </c>
      <c r="E40" s="10">
        <v>30299</v>
      </c>
      <c r="F40" s="10">
        <v>30299</v>
      </c>
      <c r="G40" s="10">
        <v>30299</v>
      </c>
      <c r="H40" s="10">
        <v>30299</v>
      </c>
      <c r="I40" s="10">
        <v>30299</v>
      </c>
      <c r="J40" s="10">
        <v>30299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>
      <c r="A41" s="12"/>
      <c r="B41" s="1" t="s">
        <v>19</v>
      </c>
      <c r="C41" s="1" t="s">
        <v>20</v>
      </c>
      <c r="D41" s="10">
        <v>2</v>
      </c>
      <c r="E41" s="10">
        <v>1996</v>
      </c>
      <c r="F41" s="10">
        <v>3279</v>
      </c>
      <c r="G41" s="10">
        <v>3204</v>
      </c>
      <c r="H41" s="10">
        <v>4254</v>
      </c>
      <c r="I41" s="10">
        <v>6605</v>
      </c>
      <c r="J41" s="10">
        <v>4586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>
      <c r="A42" s="12"/>
      <c r="B42" s="14"/>
      <c r="C42" s="14" t="s">
        <v>21</v>
      </c>
      <c r="D42" s="15">
        <f t="shared" ref="D42:I42" si="28">D41/D40</f>
        <v>6.6006600660066e-5</v>
      </c>
      <c r="E42" s="15">
        <f t="shared" si="28"/>
        <v>0.065876761609294</v>
      </c>
      <c r="F42" s="15">
        <f t="shared" si="28"/>
        <v>0.108221393445328</v>
      </c>
      <c r="G42" s="15">
        <f t="shared" si="28"/>
        <v>0.105746064226542</v>
      </c>
      <c r="H42" s="15">
        <f t="shared" si="28"/>
        <v>0.140400673289548</v>
      </c>
      <c r="I42" s="15">
        <f t="shared" si="28"/>
        <v>0.217993993201096</v>
      </c>
      <c r="J42" s="15">
        <f t="shared" ref="J42:O42" si="29">J41/J40</f>
        <v>0.151358130631374</v>
      </c>
      <c r="K42" s="15" t="e">
        <f t="shared" si="29"/>
        <v>#DIV/0!</v>
      </c>
      <c r="L42" s="15" t="e">
        <f t="shared" si="29"/>
        <v>#DIV/0!</v>
      </c>
      <c r="M42" s="15" t="e">
        <f t="shared" si="29"/>
        <v>#DIV/0!</v>
      </c>
      <c r="N42" s="15" t="e">
        <f t="shared" si="29"/>
        <v>#DIV/0!</v>
      </c>
      <c r="O42" s="15" t="e">
        <f t="shared" si="29"/>
        <v>#DIV/0!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>
      <c r="A43" s="11" t="s">
        <v>6</v>
      </c>
      <c r="B43" s="1" t="s">
        <v>25</v>
      </c>
      <c r="C43" s="1" t="s">
        <v>18</v>
      </c>
      <c r="D43" s="10">
        <v>5201260</v>
      </c>
      <c r="E43" s="10">
        <v>5201260</v>
      </c>
      <c r="F43" s="10">
        <v>5201260</v>
      </c>
      <c r="G43" s="10">
        <v>5201260</v>
      </c>
      <c r="H43" s="10">
        <v>5201260</v>
      </c>
      <c r="I43" s="10">
        <v>5201260</v>
      </c>
      <c r="J43" s="10">
        <f>7451810</f>
        <v>7451810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>
      <c r="A44" s="11"/>
      <c r="B44" s="1" t="s">
        <v>29</v>
      </c>
      <c r="C44" s="1" t="s">
        <v>20</v>
      </c>
      <c r="D44" s="10">
        <v>190614</v>
      </c>
      <c r="E44" s="10">
        <v>553410</v>
      </c>
      <c r="F44" s="10">
        <f>781728</f>
        <v>781728</v>
      </c>
      <c r="G44" s="10">
        <v>783823</v>
      </c>
      <c r="H44" s="10">
        <v>980093</v>
      </c>
      <c r="I44" s="10">
        <v>1437358</v>
      </c>
      <c r="J44" s="10">
        <v>873261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>
      <c r="A45" s="11"/>
      <c r="B45" s="14"/>
      <c r="C45" s="14" t="s">
        <v>21</v>
      </c>
      <c r="D45" s="15">
        <f t="shared" ref="D45:I45" si="30">D44/D43</f>
        <v>0.0366476584519905</v>
      </c>
      <c r="E45" s="15">
        <f t="shared" si="30"/>
        <v>0.106399218650865</v>
      </c>
      <c r="F45" s="15">
        <f t="shared" si="30"/>
        <v>0.150295889842077</v>
      </c>
      <c r="G45" s="15">
        <f t="shared" si="30"/>
        <v>0.150698676859069</v>
      </c>
      <c r="H45" s="15">
        <f t="shared" si="30"/>
        <v>0.188433764126385</v>
      </c>
      <c r="I45" s="15">
        <f t="shared" si="30"/>
        <v>0.276348038744458</v>
      </c>
      <c r="J45" s="15">
        <f t="shared" ref="J45:O45" si="31">J44/J43</f>
        <v>0.117187770487975</v>
      </c>
      <c r="K45" s="15" t="e">
        <f t="shared" si="31"/>
        <v>#DIV/0!</v>
      </c>
      <c r="L45" s="15" t="e">
        <f t="shared" si="31"/>
        <v>#DIV/0!</v>
      </c>
      <c r="M45" s="15" t="e">
        <f t="shared" si="31"/>
        <v>#DIV/0!</v>
      </c>
      <c r="N45" s="15" t="e">
        <f t="shared" si="31"/>
        <v>#DIV/0!</v>
      </c>
      <c r="O45" s="15" t="e">
        <f t="shared" si="31"/>
        <v>#DIV/0!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>
      <c r="A46" s="12" t="s">
        <v>10</v>
      </c>
      <c r="B46" s="1" t="s">
        <v>25</v>
      </c>
      <c r="C46" s="1" t="s">
        <v>18</v>
      </c>
      <c r="D46" s="10">
        <v>9200700</v>
      </c>
      <c r="E46" s="10">
        <v>9203485</v>
      </c>
      <c r="F46" s="10">
        <v>9203932</v>
      </c>
      <c r="G46" s="10">
        <v>9204660</v>
      </c>
      <c r="H46" s="10">
        <v>9205109</v>
      </c>
      <c r="I46" s="10">
        <v>9205500</v>
      </c>
      <c r="J46" s="10">
        <v>18910520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>
      <c r="A47" s="12"/>
      <c r="B47" s="1" t="s">
        <v>29</v>
      </c>
      <c r="C47" s="1" t="s">
        <v>20</v>
      </c>
      <c r="D47" s="10">
        <v>174711</v>
      </c>
      <c r="E47" s="10">
        <v>698506</v>
      </c>
      <c r="F47" s="10">
        <v>1091424</v>
      </c>
      <c r="G47" s="10">
        <v>1095115</v>
      </c>
      <c r="H47" s="10">
        <v>1432947</v>
      </c>
      <c r="I47" s="10">
        <v>2219991</v>
      </c>
      <c r="J47" s="10">
        <v>931326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>
      <c r="A48" s="12"/>
      <c r="B48" s="14"/>
      <c r="C48" s="14" t="s">
        <v>21</v>
      </c>
      <c r="D48" s="15">
        <f t="shared" ref="D48:I48" si="32">D47/D46</f>
        <v>0.0189888812807721</v>
      </c>
      <c r="E48" s="15">
        <f t="shared" si="32"/>
        <v>0.0758958155524782</v>
      </c>
      <c r="F48" s="15">
        <f t="shared" si="32"/>
        <v>0.118582362407719</v>
      </c>
      <c r="G48" s="15">
        <f t="shared" si="32"/>
        <v>0.118973976225086</v>
      </c>
      <c r="H48" s="15">
        <f t="shared" si="32"/>
        <v>0.155668661826818</v>
      </c>
      <c r="I48" s="15">
        <f t="shared" si="32"/>
        <v>0.241159198305361</v>
      </c>
      <c r="J48" s="15">
        <f t="shared" ref="J48:O48" si="33">J47/J46</f>
        <v>0.0492490952126118</v>
      </c>
      <c r="K48" s="15" t="e">
        <f t="shared" si="33"/>
        <v>#DIV/0!</v>
      </c>
      <c r="L48" s="15" t="e">
        <f t="shared" si="33"/>
        <v>#DIV/0!</v>
      </c>
      <c r="M48" s="15" t="e">
        <f t="shared" si="33"/>
        <v>#DIV/0!</v>
      </c>
      <c r="N48" s="15" t="e">
        <f t="shared" si="33"/>
        <v>#DIV/0!</v>
      </c>
      <c r="O48" s="15" t="e">
        <f t="shared" si="33"/>
        <v>#DIV/0!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>
      <c r="A49" s="11" t="s">
        <v>6</v>
      </c>
      <c r="B49" s="1" t="s">
        <v>25</v>
      </c>
      <c r="C49" s="1" t="s">
        <v>18</v>
      </c>
      <c r="D49" s="10">
        <v>1000000</v>
      </c>
      <c r="E49" s="10">
        <v>1001741</v>
      </c>
      <c r="F49" s="10">
        <f>1262243</f>
        <v>1262243</v>
      </c>
      <c r="G49" s="10">
        <v>1262787</v>
      </c>
      <c r="H49" s="10">
        <v>1263381</v>
      </c>
      <c r="I49" s="10">
        <v>1263872</v>
      </c>
      <c r="J49" s="10">
        <v>1264677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>
      <c r="A50" s="11"/>
      <c r="B50" s="1" t="s">
        <v>30</v>
      </c>
      <c r="C50" s="1" t="s">
        <v>20</v>
      </c>
      <c r="D50" s="10">
        <v>59539</v>
      </c>
      <c r="E50" s="10">
        <v>131937</v>
      </c>
      <c r="F50" s="10">
        <f>156542</f>
        <v>156542</v>
      </c>
      <c r="G50" s="10">
        <v>152078</v>
      </c>
      <c r="H50" s="10">
        <v>230513</v>
      </c>
      <c r="I50" s="10">
        <v>369025</v>
      </c>
      <c r="J50" s="10">
        <v>227131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>
      <c r="A51" s="11"/>
      <c r="B51" s="14"/>
      <c r="C51" s="14" t="s">
        <v>21</v>
      </c>
      <c r="D51" s="15">
        <f t="shared" ref="D51:I51" si="34">D50/D49</f>
        <v>0.059539</v>
      </c>
      <c r="E51" s="15">
        <f t="shared" si="34"/>
        <v>0.131707696899698</v>
      </c>
      <c r="F51" s="15">
        <f t="shared" si="34"/>
        <v>0.124018909195773</v>
      </c>
      <c r="G51" s="15">
        <f t="shared" si="34"/>
        <v>0.120430444722665</v>
      </c>
      <c r="H51" s="15">
        <f t="shared" si="34"/>
        <v>0.182457231824762</v>
      </c>
      <c r="I51" s="15">
        <f t="shared" si="34"/>
        <v>0.291979725795017</v>
      </c>
      <c r="J51" s="15">
        <f t="shared" ref="J51:O51" si="35">J50/J49</f>
        <v>0.179596054961069</v>
      </c>
      <c r="K51" s="15" t="e">
        <f t="shared" si="35"/>
        <v>#DIV/0!</v>
      </c>
      <c r="L51" s="15" t="e">
        <f t="shared" si="35"/>
        <v>#DIV/0!</v>
      </c>
      <c r="M51" s="15" t="e">
        <f t="shared" si="35"/>
        <v>#DIV/0!</v>
      </c>
      <c r="N51" s="15" t="e">
        <f t="shared" si="35"/>
        <v>#DIV/0!</v>
      </c>
      <c r="O51" s="15" t="e">
        <f t="shared" si="35"/>
        <v>#DIV/0!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>
      <c r="A52" s="11" t="s">
        <v>6</v>
      </c>
      <c r="B52" s="1" t="s">
        <v>25</v>
      </c>
      <c r="C52" s="1" t="s">
        <v>18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>
      <c r="A53" s="11"/>
      <c r="B53" s="1" t="s">
        <v>23</v>
      </c>
      <c r="C53" s="1" t="s">
        <v>20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>
      <c r="A54" s="11"/>
      <c r="B54" s="14"/>
      <c r="C54" s="14" t="s">
        <v>21</v>
      </c>
      <c r="D54" s="15" t="e">
        <f t="shared" ref="D54:I54" si="36">D53/D52</f>
        <v>#DIV/0!</v>
      </c>
      <c r="E54" s="15" t="e">
        <f t="shared" si="36"/>
        <v>#DIV/0!</v>
      </c>
      <c r="F54" s="15" t="e">
        <f t="shared" si="36"/>
        <v>#DIV/0!</v>
      </c>
      <c r="G54" s="15" t="e">
        <f t="shared" si="36"/>
        <v>#DIV/0!</v>
      </c>
      <c r="H54" s="15" t="e">
        <f t="shared" si="36"/>
        <v>#DIV/0!</v>
      </c>
      <c r="I54" s="15" t="e">
        <f t="shared" si="36"/>
        <v>#DIV/0!</v>
      </c>
      <c r="J54" s="15" t="e">
        <f t="shared" ref="J54:O54" si="37">J53/J52</f>
        <v>#DIV/0!</v>
      </c>
      <c r="K54" s="15" t="e">
        <f t="shared" si="37"/>
        <v>#DIV/0!</v>
      </c>
      <c r="L54" s="15" t="e">
        <f t="shared" si="37"/>
        <v>#DIV/0!</v>
      </c>
      <c r="M54" s="15" t="e">
        <f t="shared" si="37"/>
        <v>#DIV/0!</v>
      </c>
      <c r="N54" s="15" t="e">
        <f t="shared" si="37"/>
        <v>#DIV/0!</v>
      </c>
      <c r="O54" s="15" t="e">
        <f t="shared" si="37"/>
        <v>#DIV/0!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>
      <c r="A55" s="12" t="s">
        <v>10</v>
      </c>
      <c r="B55" s="1" t="s">
        <v>25</v>
      </c>
      <c r="C55" s="1" t="s">
        <v>18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>
      <c r="A56" s="12"/>
      <c r="B56" s="1" t="s">
        <v>23</v>
      </c>
      <c r="C56" s="1" t="s">
        <v>20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>
      <c r="A57" s="12"/>
      <c r="B57" s="14"/>
      <c r="C57" s="14" t="s">
        <v>21</v>
      </c>
      <c r="D57" s="15" t="e">
        <f t="shared" ref="D57:I57" si="38">D56/D55</f>
        <v>#DIV/0!</v>
      </c>
      <c r="E57" s="15" t="e">
        <f t="shared" si="38"/>
        <v>#DIV/0!</v>
      </c>
      <c r="F57" s="15" t="e">
        <f t="shared" si="38"/>
        <v>#DIV/0!</v>
      </c>
      <c r="G57" s="15" t="e">
        <f t="shared" si="38"/>
        <v>#DIV/0!</v>
      </c>
      <c r="H57" s="15" t="e">
        <f t="shared" si="38"/>
        <v>#DIV/0!</v>
      </c>
      <c r="I57" s="15" t="e">
        <f t="shared" si="38"/>
        <v>#DIV/0!</v>
      </c>
      <c r="J57" s="15" t="e">
        <f t="shared" ref="J57:O57" si="39">J56/J55</f>
        <v>#DIV/0!</v>
      </c>
      <c r="K57" s="15" t="e">
        <f t="shared" si="39"/>
        <v>#DIV/0!</v>
      </c>
      <c r="L57" s="15" t="e">
        <f t="shared" si="39"/>
        <v>#DIV/0!</v>
      </c>
      <c r="M57" s="15" t="e">
        <f t="shared" si="39"/>
        <v>#DIV/0!</v>
      </c>
      <c r="N57" s="15" t="e">
        <f t="shared" si="39"/>
        <v>#DIV/0!</v>
      </c>
      <c r="O57" s="15" t="e">
        <f t="shared" si="39"/>
        <v>#DIV/0!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ht="7.5" customHeight="1" spans="3:65">
      <c r="C58" s="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>
      <c r="A59" s="9" t="s">
        <v>4</v>
      </c>
      <c r="B59" s="1" t="s">
        <v>31</v>
      </c>
      <c r="C59" s="1" t="s">
        <v>13</v>
      </c>
      <c r="D59" s="10">
        <f t="shared" ref="D59:I59" si="40">D60+D61</f>
        <v>3875652</v>
      </c>
      <c r="E59" s="10">
        <f t="shared" si="40"/>
        <v>4165226</v>
      </c>
      <c r="F59" s="10">
        <f t="shared" si="40"/>
        <v>4364478</v>
      </c>
      <c r="G59" s="10">
        <f t="shared" si="40"/>
        <v>4242546</v>
      </c>
      <c r="H59" s="10">
        <f t="shared" si="40"/>
        <v>4570262</v>
      </c>
      <c r="I59" s="19">
        <f t="shared" si="40"/>
        <v>4875501</v>
      </c>
      <c r="J59" s="19">
        <f t="shared" ref="J59:O59" si="41">J60+J61</f>
        <v>4616879</v>
      </c>
      <c r="K59" s="19">
        <f t="shared" si="41"/>
        <v>0</v>
      </c>
      <c r="L59" s="19">
        <f t="shared" si="41"/>
        <v>0</v>
      </c>
      <c r="M59" s="19">
        <f t="shared" si="41"/>
        <v>0</v>
      </c>
      <c r="N59" s="19">
        <f t="shared" si="41"/>
        <v>0</v>
      </c>
      <c r="O59" s="19">
        <f t="shared" si="41"/>
        <v>0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>
      <c r="A60" s="9"/>
      <c r="C60" s="1" t="s">
        <v>14</v>
      </c>
      <c r="D60" s="10">
        <f t="shared" ref="D60:I60" si="42">D63+D66+D69</f>
        <v>2272522</v>
      </c>
      <c r="E60" s="10">
        <f t="shared" si="42"/>
        <v>2270585</v>
      </c>
      <c r="F60" s="10">
        <f t="shared" si="42"/>
        <v>2295414</v>
      </c>
      <c r="G60" s="10">
        <f t="shared" si="42"/>
        <v>2158243</v>
      </c>
      <c r="H60" s="10">
        <f t="shared" si="42"/>
        <v>2345072</v>
      </c>
      <c r="I60" s="19">
        <f t="shared" si="42"/>
        <v>2369901</v>
      </c>
      <c r="J60" s="19">
        <f t="shared" ref="J60:O60" si="43">J63+J66+J69</f>
        <v>2394730</v>
      </c>
      <c r="K60" s="19">
        <f t="shared" si="43"/>
        <v>0</v>
      </c>
      <c r="L60" s="19">
        <f t="shared" si="43"/>
        <v>0</v>
      </c>
      <c r="M60" s="19">
        <f t="shared" si="43"/>
        <v>0</v>
      </c>
      <c r="N60" s="19">
        <f t="shared" si="43"/>
        <v>0</v>
      </c>
      <c r="O60" s="19">
        <f t="shared" si="43"/>
        <v>0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>
      <c r="A61" s="9"/>
      <c r="C61" s="1" t="s">
        <v>15</v>
      </c>
      <c r="D61" s="10">
        <f t="shared" ref="D61:I61" si="44">D64+D67+D70</f>
        <v>1603130</v>
      </c>
      <c r="E61" s="10">
        <f t="shared" si="44"/>
        <v>1894641</v>
      </c>
      <c r="F61" s="10">
        <f t="shared" si="44"/>
        <v>2069064</v>
      </c>
      <c r="G61" s="10">
        <f t="shared" si="44"/>
        <v>2084303</v>
      </c>
      <c r="H61" s="10">
        <f t="shared" si="44"/>
        <v>2225190</v>
      </c>
      <c r="I61" s="19">
        <f t="shared" si="44"/>
        <v>2505600</v>
      </c>
      <c r="J61" s="19">
        <f t="shared" ref="J61:O61" si="45">J64+J67+J70</f>
        <v>2222149</v>
      </c>
      <c r="K61" s="19">
        <f t="shared" si="45"/>
        <v>0</v>
      </c>
      <c r="L61" s="19">
        <f t="shared" si="45"/>
        <v>0</v>
      </c>
      <c r="M61" s="19">
        <f t="shared" si="45"/>
        <v>0</v>
      </c>
      <c r="N61" s="19">
        <f t="shared" si="45"/>
        <v>0</v>
      </c>
      <c r="O61" s="19">
        <f t="shared" si="45"/>
        <v>0</v>
      </c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>
      <c r="A62" s="9"/>
      <c r="B62" s="14"/>
      <c r="C62" s="14" t="s">
        <v>16</v>
      </c>
      <c r="D62" s="15">
        <f t="shared" ref="D62:I62" si="46">D61/D60</f>
        <v>0.705440915423481</v>
      </c>
      <c r="E62" s="15">
        <f t="shared" si="46"/>
        <v>0.834428572372318</v>
      </c>
      <c r="F62" s="15">
        <f t="shared" si="46"/>
        <v>0.901390337429327</v>
      </c>
      <c r="G62" s="15">
        <f t="shared" si="46"/>
        <v>0.965740651075898</v>
      </c>
      <c r="H62" s="15">
        <f t="shared" si="46"/>
        <v>0.948879181534725</v>
      </c>
      <c r="I62" s="15">
        <f t="shared" si="46"/>
        <v>1.05725935387174</v>
      </c>
      <c r="J62" s="15">
        <f t="shared" ref="J62:O62" si="47">J61/J60</f>
        <v>0.927933002885503</v>
      </c>
      <c r="K62" s="15" t="e">
        <f t="shared" si="47"/>
        <v>#DIV/0!</v>
      </c>
      <c r="L62" s="15" t="e">
        <f t="shared" si="47"/>
        <v>#DIV/0!</v>
      </c>
      <c r="M62" s="15" t="e">
        <f t="shared" si="47"/>
        <v>#DIV/0!</v>
      </c>
      <c r="N62" s="15" t="e">
        <f t="shared" si="47"/>
        <v>#DIV/0!</v>
      </c>
      <c r="O62" s="15" t="e">
        <f t="shared" si="47"/>
        <v>#DIV/0!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>
      <c r="A63" s="11" t="s">
        <v>6</v>
      </c>
      <c r="B63" s="1" t="s">
        <v>32</v>
      </c>
      <c r="C63" s="1" t="s">
        <v>18</v>
      </c>
      <c r="D63" s="10">
        <v>144000</v>
      </c>
      <c r="E63" s="10">
        <v>156000</v>
      </c>
      <c r="F63" s="10">
        <v>168000</v>
      </c>
      <c r="G63" s="10">
        <v>18000</v>
      </c>
      <c r="H63" s="10">
        <v>192000</v>
      </c>
      <c r="I63" s="10">
        <v>204000</v>
      </c>
      <c r="J63" s="10">
        <v>216000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>
      <c r="A64" s="11"/>
      <c r="B64" s="1" t="s">
        <v>29</v>
      </c>
      <c r="C64" s="1" t="s">
        <v>20</v>
      </c>
      <c r="D64" s="10">
        <v>19056</v>
      </c>
      <c r="E64" s="10">
        <v>30022</v>
      </c>
      <c r="F64" s="10">
        <v>37705</v>
      </c>
      <c r="G64" s="10">
        <v>37746</v>
      </c>
      <c r="H64" s="10">
        <v>44572</v>
      </c>
      <c r="I64" s="10">
        <v>62262</v>
      </c>
      <c r="J64" s="10">
        <v>44926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>
      <c r="A65" s="11"/>
      <c r="B65" s="14"/>
      <c r="C65" s="14" t="s">
        <v>21</v>
      </c>
      <c r="D65" s="15">
        <f t="shared" ref="D65:I65" si="48">D64/D63</f>
        <v>0.132333333333333</v>
      </c>
      <c r="E65" s="15">
        <f t="shared" si="48"/>
        <v>0.192448717948718</v>
      </c>
      <c r="F65" s="15">
        <f t="shared" si="48"/>
        <v>0.224434523809524</v>
      </c>
      <c r="G65" s="15">
        <f t="shared" si="48"/>
        <v>2.097</v>
      </c>
      <c r="H65" s="15">
        <f t="shared" si="48"/>
        <v>0.232145833333333</v>
      </c>
      <c r="I65" s="15">
        <f t="shared" si="48"/>
        <v>0.305205882352941</v>
      </c>
      <c r="J65" s="15">
        <f t="shared" ref="J65:O65" si="49">J64/J63</f>
        <v>0.207990740740741</v>
      </c>
      <c r="K65" s="15" t="e">
        <f t="shared" si="49"/>
        <v>#DIV/0!</v>
      </c>
      <c r="L65" s="15" t="e">
        <f t="shared" si="49"/>
        <v>#DIV/0!</v>
      </c>
      <c r="M65" s="15" t="e">
        <f t="shared" si="49"/>
        <v>#DIV/0!</v>
      </c>
      <c r="N65" s="15" t="e">
        <f t="shared" si="49"/>
        <v>#DIV/0!</v>
      </c>
      <c r="O65" s="15" t="e">
        <f t="shared" si="49"/>
        <v>#DIV/0!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>
      <c r="A66" s="12" t="s">
        <v>10</v>
      </c>
      <c r="B66" s="1" t="s">
        <v>32</v>
      </c>
      <c r="C66" s="1" t="s">
        <v>18</v>
      </c>
      <c r="D66" s="10">
        <v>399489</v>
      </c>
      <c r="E66" s="10">
        <v>411318</v>
      </c>
      <c r="F66" s="10">
        <v>423147</v>
      </c>
      <c r="G66" s="10">
        <v>434976</v>
      </c>
      <c r="H66" s="10">
        <v>446805</v>
      </c>
      <c r="I66" s="10">
        <v>458634</v>
      </c>
      <c r="J66" s="10">
        <v>470463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>
      <c r="A67" s="12"/>
      <c r="B67" s="1" t="s">
        <v>33</v>
      </c>
      <c r="C67" s="1" t="s">
        <v>20</v>
      </c>
      <c r="D67" s="10">
        <v>120594</v>
      </c>
      <c r="E67" s="10">
        <v>160050</v>
      </c>
      <c r="F67" s="10">
        <v>184321</v>
      </c>
      <c r="G67" s="10">
        <v>183101</v>
      </c>
      <c r="H67" s="10">
        <v>202306</v>
      </c>
      <c r="I67" s="10">
        <v>246829</v>
      </c>
      <c r="J67" s="10">
        <v>207246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>
      <c r="A68" s="12"/>
      <c r="B68" s="14"/>
      <c r="C68" s="14" t="s">
        <v>21</v>
      </c>
      <c r="D68" s="15">
        <f t="shared" ref="D68:I68" si="50">D67/D66</f>
        <v>0.301870639742271</v>
      </c>
      <c r="E68" s="15">
        <f t="shared" si="50"/>
        <v>0.389114991320584</v>
      </c>
      <c r="F68" s="15">
        <f t="shared" si="50"/>
        <v>0.435595667699405</v>
      </c>
      <c r="G68" s="15">
        <f t="shared" si="50"/>
        <v>0.420945063635695</v>
      </c>
      <c r="H68" s="15">
        <f t="shared" si="50"/>
        <v>0.452783652823939</v>
      </c>
      <c r="I68" s="15">
        <f t="shared" si="50"/>
        <v>0.538182951983499</v>
      </c>
      <c r="J68" s="15">
        <f t="shared" ref="J68:O68" si="51">J67/J66</f>
        <v>0.440514982049598</v>
      </c>
      <c r="K68" s="15" t="e">
        <f t="shared" si="51"/>
        <v>#DIV/0!</v>
      </c>
      <c r="L68" s="15" t="e">
        <f t="shared" si="51"/>
        <v>#DIV/0!</v>
      </c>
      <c r="M68" s="15" t="e">
        <f t="shared" si="51"/>
        <v>#DIV/0!</v>
      </c>
      <c r="N68" s="15" t="e">
        <f t="shared" si="51"/>
        <v>#DIV/0!</v>
      </c>
      <c r="O68" s="15" t="e">
        <f t="shared" si="51"/>
        <v>#DIV/0!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>
      <c r="A69" s="11" t="s">
        <v>6</v>
      </c>
      <c r="B69" s="1" t="s">
        <v>34</v>
      </c>
      <c r="C69" s="1" t="s">
        <v>18</v>
      </c>
      <c r="D69" s="10">
        <v>1729033</v>
      </c>
      <c r="E69" s="10">
        <v>1703267</v>
      </c>
      <c r="F69" s="10">
        <v>1704267</v>
      </c>
      <c r="G69" s="10">
        <v>1705267</v>
      </c>
      <c r="H69" s="10">
        <v>1706267</v>
      </c>
      <c r="I69" s="10">
        <v>1707267</v>
      </c>
      <c r="J69" s="10">
        <v>1708267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>
      <c r="A70" s="11"/>
      <c r="B70" s="1" t="s">
        <v>35</v>
      </c>
      <c r="C70" s="1" t="s">
        <v>20</v>
      </c>
      <c r="D70" s="10">
        <v>1463480</v>
      </c>
      <c r="E70" s="10">
        <v>1704569</v>
      </c>
      <c r="F70" s="10">
        <v>1847038</v>
      </c>
      <c r="G70" s="10">
        <v>1863456</v>
      </c>
      <c r="H70" s="10">
        <v>1978312</v>
      </c>
      <c r="I70" s="10">
        <v>2196509</v>
      </c>
      <c r="J70" s="10">
        <v>1969977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>
      <c r="A71" s="11"/>
      <c r="B71" s="14"/>
      <c r="C71" s="14" t="s">
        <v>21</v>
      </c>
      <c r="D71" s="15">
        <f t="shared" ref="D71:I71" si="52">D70/D69</f>
        <v>0.846415308441192</v>
      </c>
      <c r="E71" s="15">
        <f t="shared" si="52"/>
        <v>1.00076441333038</v>
      </c>
      <c r="F71" s="15">
        <f t="shared" si="52"/>
        <v>1.08377267177033</v>
      </c>
      <c r="G71" s="15">
        <f t="shared" si="52"/>
        <v>1.09276494531355</v>
      </c>
      <c r="H71" s="15">
        <f t="shared" si="52"/>
        <v>1.15943870449349</v>
      </c>
      <c r="I71" s="15">
        <f t="shared" si="52"/>
        <v>1.28656443309687</v>
      </c>
      <c r="J71" s="15">
        <f t="shared" ref="J71:O71" si="53">J70/J69</f>
        <v>1.15320204628433</v>
      </c>
      <c r="K71" s="15" t="e">
        <f t="shared" si="53"/>
        <v>#DIV/0!</v>
      </c>
      <c r="L71" s="15" t="e">
        <f t="shared" si="53"/>
        <v>#DIV/0!</v>
      </c>
      <c r="M71" s="15" t="e">
        <f t="shared" si="53"/>
        <v>#DIV/0!</v>
      </c>
      <c r="N71" s="15" t="e">
        <f t="shared" si="53"/>
        <v>#DIV/0!</v>
      </c>
      <c r="O71" s="15" t="e">
        <f t="shared" si="53"/>
        <v>#DIV/0!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ht="7.5" customHeight="1" spans="3:65">
      <c r="C72" s="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ht="7.5" customHeight="1" spans="3:65">
      <c r="C73" s="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>
      <c r="A74" s="20" t="s">
        <v>36</v>
      </c>
      <c r="B74" s="21"/>
      <c r="C74" s="21"/>
      <c r="D74" s="10">
        <f t="shared" ref="D74:I74" si="54">D15+D33</f>
        <v>24794362</v>
      </c>
      <c r="E74" s="10">
        <f t="shared" si="54"/>
        <v>24799371</v>
      </c>
      <c r="F74" s="10">
        <f t="shared" si="54"/>
        <v>25060320</v>
      </c>
      <c r="G74" s="10">
        <f t="shared" si="54"/>
        <v>25061592</v>
      </c>
      <c r="H74" s="10">
        <f t="shared" si="54"/>
        <v>25062635</v>
      </c>
      <c r="I74" s="19">
        <f t="shared" si="54"/>
        <v>25063517</v>
      </c>
      <c r="J74" s="19">
        <f t="shared" ref="J74:O74" si="55">J15+J33</f>
        <v>37020983</v>
      </c>
      <c r="K74" s="19">
        <f t="shared" si="55"/>
        <v>0</v>
      </c>
      <c r="L74" s="19">
        <f t="shared" si="55"/>
        <v>0</v>
      </c>
      <c r="M74" s="19">
        <f t="shared" si="55"/>
        <v>0</v>
      </c>
      <c r="N74" s="19">
        <f t="shared" si="55"/>
        <v>0</v>
      </c>
      <c r="O74" s="19">
        <f t="shared" si="55"/>
        <v>0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>
      <c r="A75" s="22" t="s">
        <v>37</v>
      </c>
      <c r="B75" s="23"/>
      <c r="C75" s="23"/>
      <c r="D75" s="10">
        <f t="shared" ref="D75:I75" si="56">D16+D34</f>
        <v>1387606.5122</v>
      </c>
      <c r="E75" s="10">
        <f t="shared" si="56"/>
        <v>2810635.64715</v>
      </c>
      <c r="F75" s="10">
        <f t="shared" si="56"/>
        <v>3751716.18185</v>
      </c>
      <c r="G75" s="10">
        <f t="shared" si="56"/>
        <v>3815574.3578</v>
      </c>
      <c r="H75" s="10">
        <f t="shared" si="56"/>
        <v>4645264.4933</v>
      </c>
      <c r="I75" s="19">
        <f t="shared" si="56"/>
        <v>6464799.78535</v>
      </c>
      <c r="J75" s="19">
        <f t="shared" ref="J75:O75" si="57">J16+J34</f>
        <v>4151653.74795</v>
      </c>
      <c r="K75" s="19">
        <f t="shared" si="57"/>
        <v>0</v>
      </c>
      <c r="L75" s="19">
        <f t="shared" si="57"/>
        <v>0</v>
      </c>
      <c r="M75" s="19">
        <f t="shared" si="57"/>
        <v>0</v>
      </c>
      <c r="N75" s="19">
        <f t="shared" si="57"/>
        <v>0</v>
      </c>
      <c r="O75" s="19">
        <f t="shared" si="57"/>
        <v>0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>
      <c r="A76" s="1" t="s">
        <v>38</v>
      </c>
      <c r="B76" s="24"/>
      <c r="C76" s="24"/>
      <c r="D76" s="10">
        <f t="shared" ref="D76:I76" si="58">D14+D32</f>
        <v>26181968.5122</v>
      </c>
      <c r="E76" s="10">
        <f t="shared" si="58"/>
        <v>27610006.64715</v>
      </c>
      <c r="F76" s="10">
        <f t="shared" si="58"/>
        <v>28812036.18185</v>
      </c>
      <c r="G76" s="10">
        <f t="shared" si="58"/>
        <v>28877166.3578</v>
      </c>
      <c r="H76" s="10">
        <f t="shared" si="58"/>
        <v>29707899.4933</v>
      </c>
      <c r="I76" s="19">
        <f t="shared" si="58"/>
        <v>31528316.78535</v>
      </c>
      <c r="J76" s="19">
        <f t="shared" ref="J76:O76" si="59">J14+J32</f>
        <v>41172636.74795</v>
      </c>
      <c r="K76" s="19">
        <f t="shared" si="59"/>
        <v>0</v>
      </c>
      <c r="L76" s="19">
        <f t="shared" si="59"/>
        <v>0</v>
      </c>
      <c r="M76" s="19">
        <f t="shared" si="59"/>
        <v>0</v>
      </c>
      <c r="N76" s="19">
        <f t="shared" si="59"/>
        <v>0</v>
      </c>
      <c r="O76" s="19">
        <f t="shared" si="59"/>
        <v>0</v>
      </c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</row>
    <row r="77" spans="1:15">
      <c r="A77" s="1" t="s">
        <v>39</v>
      </c>
      <c r="B77" s="24"/>
      <c r="C77" s="25"/>
      <c r="D77" s="19">
        <f t="shared" ref="D77:I77" si="60">D5+D14+D32</f>
        <v>37344317.5122</v>
      </c>
      <c r="E77" s="19">
        <f t="shared" si="60"/>
        <v>38791392.64715</v>
      </c>
      <c r="F77" s="19">
        <f t="shared" si="60"/>
        <v>42951777.18185</v>
      </c>
      <c r="G77" s="19">
        <f t="shared" si="60"/>
        <v>43092945.3578</v>
      </c>
      <c r="H77" s="19">
        <f t="shared" si="60"/>
        <v>43832294.4933</v>
      </c>
      <c r="I77" s="19">
        <f t="shared" si="60"/>
        <v>45558841.78535</v>
      </c>
      <c r="J77" s="19">
        <f t="shared" ref="J77:O77" si="61">J5+J14+J32</f>
        <v>44063782.74795</v>
      </c>
      <c r="K77" s="19">
        <f t="shared" si="61"/>
        <v>0</v>
      </c>
      <c r="L77" s="19">
        <f t="shared" si="61"/>
        <v>0</v>
      </c>
      <c r="M77" s="19">
        <f t="shared" si="61"/>
        <v>0</v>
      </c>
      <c r="N77" s="19">
        <f t="shared" si="61"/>
        <v>0</v>
      </c>
      <c r="O77" s="19">
        <f t="shared" si="61"/>
        <v>0</v>
      </c>
    </row>
    <row r="78" spans="1:65">
      <c r="A78" s="26" t="s">
        <v>40</v>
      </c>
      <c r="B78" s="27"/>
      <c r="C78" s="27"/>
      <c r="D78" s="28">
        <f>$O$78-470000*11</f>
        <v>30410000</v>
      </c>
      <c r="E78" s="28">
        <f>$O$78-470000*10</f>
        <v>30880000</v>
      </c>
      <c r="F78" s="28">
        <f>$O$78-470000*9</f>
        <v>31350000</v>
      </c>
      <c r="G78" s="28">
        <f>$O$78-470000*8</f>
        <v>31820000</v>
      </c>
      <c r="H78" s="28">
        <f>$O$78-470000*7</f>
        <v>32290000</v>
      </c>
      <c r="I78" s="28">
        <f>$O$78-470000*6</f>
        <v>32760000</v>
      </c>
      <c r="J78" s="28">
        <f>$O$78-470000*5</f>
        <v>33230000</v>
      </c>
      <c r="K78" s="28">
        <f>$O$78-470000*4</f>
        <v>33700000</v>
      </c>
      <c r="L78" s="42">
        <f>$O$78-470000*3</f>
        <v>34170000</v>
      </c>
      <c r="M78" s="42">
        <f>$O$78-470000*2</f>
        <v>34640000</v>
      </c>
      <c r="N78" s="42">
        <f>$O$78-470000*1</f>
        <v>35110000</v>
      </c>
      <c r="O78" s="42">
        <f>28380000+7200000*1</f>
        <v>35580000</v>
      </c>
      <c r="P78" s="13">
        <f>$AA$78-470000*11</f>
        <v>35990000</v>
      </c>
      <c r="Q78" s="13">
        <f>$AA$78-470000*10</f>
        <v>36460000</v>
      </c>
      <c r="R78" s="13">
        <f>$AA$78-470000*9</f>
        <v>36930000</v>
      </c>
      <c r="S78" s="13">
        <f>$AA$78-470000*8</f>
        <v>37400000</v>
      </c>
      <c r="T78" s="13">
        <f>$AA$78-470000*7</f>
        <v>37870000</v>
      </c>
      <c r="U78" s="13">
        <f>$AA$78-470000*6</f>
        <v>38340000</v>
      </c>
      <c r="V78" s="13">
        <f>$AA$78-470000*5</f>
        <v>38810000</v>
      </c>
      <c r="W78" s="13">
        <f>$AA$78-470000*4</f>
        <v>39280000</v>
      </c>
      <c r="X78" s="13">
        <f>$AA$78-470000*3</f>
        <v>39750000</v>
      </c>
      <c r="Y78" s="10">
        <f>$AA$78-470000*2</f>
        <v>40220000</v>
      </c>
      <c r="Z78" s="10">
        <f>$AA$78-470000*1</f>
        <v>40690000</v>
      </c>
      <c r="AA78" s="10">
        <f>26760000+7200000*2</f>
        <v>41160000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>
        <f>25090000+7200000*3</f>
        <v>46690000</v>
      </c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>
        <f>23680000+7200000*4</f>
        <v>52480000</v>
      </c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>
        <f>22120000+7200000*5</f>
        <v>58120000</v>
      </c>
      <c r="BL78" s="10"/>
      <c r="BM78" s="10"/>
    </row>
    <row r="79" spans="1:65">
      <c r="A79" s="29" t="s">
        <v>41</v>
      </c>
      <c r="B79" s="30"/>
      <c r="C79" s="30"/>
      <c r="D79" s="10"/>
      <c r="E79" s="10"/>
      <c r="F79" s="10"/>
      <c r="G79" s="10"/>
      <c r="H79" s="10">
        <v>26733117</v>
      </c>
      <c r="I79" s="10">
        <v>26550601</v>
      </c>
      <c r="J79" s="10">
        <v>26499993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</row>
    <row r="80" spans="1:65">
      <c r="A80" s="29" t="s">
        <v>42</v>
      </c>
      <c r="B80" s="30"/>
      <c r="C80" s="30"/>
      <c r="D80" s="10"/>
      <c r="E80" s="10"/>
      <c r="F80" s="10"/>
      <c r="G80" s="10"/>
      <c r="H80" s="10"/>
      <c r="I80" s="10"/>
      <c r="J80" s="10">
        <v>40960000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</row>
    <row r="81" spans="1:65">
      <c r="A81" s="31" t="s">
        <v>43</v>
      </c>
      <c r="B81" s="32"/>
      <c r="C81" s="32"/>
      <c r="D81" s="10"/>
      <c r="E81" s="10"/>
      <c r="F81" s="10"/>
      <c r="G81" s="10"/>
      <c r="H81" s="10">
        <f>H77-H79</f>
        <v>17099177.4933</v>
      </c>
      <c r="I81" s="10">
        <f>I77-I79</f>
        <v>19008240.78535</v>
      </c>
      <c r="J81" s="19">
        <f t="shared" ref="J81:O81" si="62">J77-J79</f>
        <v>17563789.74795</v>
      </c>
      <c r="K81" s="19">
        <f t="shared" si="62"/>
        <v>0</v>
      </c>
      <c r="L81" s="19">
        <f t="shared" si="62"/>
        <v>0</v>
      </c>
      <c r="M81" s="19">
        <f t="shared" si="62"/>
        <v>0</v>
      </c>
      <c r="N81" s="19">
        <f t="shared" si="62"/>
        <v>0</v>
      </c>
      <c r="O81" s="19">
        <f t="shared" si="62"/>
        <v>0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</row>
    <row r="82" spans="4:6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</row>
    <row r="83" spans="4:65">
      <c r="D83" s="10"/>
      <c r="E83" s="10"/>
      <c r="F83" s="10"/>
      <c r="G83" s="10"/>
      <c r="H83" s="10"/>
      <c r="I83" s="10"/>
      <c r="J83"/>
      <c r="K83"/>
      <c r="L83"/>
      <c r="M83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</row>
    <row r="84" ht="28.8" spans="1:65">
      <c r="A84" s="6" t="s">
        <v>44</v>
      </c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</row>
    <row r="85" spans="1:65">
      <c r="A85" s="9" t="s">
        <v>45</v>
      </c>
      <c r="B85" s="7"/>
      <c r="C85" s="7"/>
      <c r="D85" s="33">
        <f t="shared" ref="D85:I85" si="63">D77</f>
        <v>37344317.5122</v>
      </c>
      <c r="E85" s="33">
        <f t="shared" si="63"/>
        <v>38791392.64715</v>
      </c>
      <c r="F85" s="33">
        <f t="shared" si="63"/>
        <v>42951777.18185</v>
      </c>
      <c r="G85" s="33">
        <f t="shared" si="63"/>
        <v>43092945.3578</v>
      </c>
      <c r="H85" s="33">
        <f t="shared" si="63"/>
        <v>43832294.4933</v>
      </c>
      <c r="I85" s="33">
        <f t="shared" si="63"/>
        <v>45558841.78535</v>
      </c>
      <c r="J85" s="33">
        <f t="shared" ref="J85:O85" si="64">J77</f>
        <v>44063782.74795</v>
      </c>
      <c r="K85" s="33">
        <f t="shared" si="64"/>
        <v>0</v>
      </c>
      <c r="L85" s="33">
        <f t="shared" si="64"/>
        <v>0</v>
      </c>
      <c r="M85" s="33">
        <f t="shared" si="64"/>
        <v>0</v>
      </c>
      <c r="N85" s="33">
        <f t="shared" si="64"/>
        <v>0</v>
      </c>
      <c r="O85" s="33">
        <f t="shared" si="64"/>
        <v>0</v>
      </c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</row>
    <row r="86" spans="1:65">
      <c r="A86" s="1" t="s">
        <v>5</v>
      </c>
      <c r="D86" s="19">
        <f t="shared" ref="D86:I86" si="65">D5</f>
        <v>11162349</v>
      </c>
      <c r="E86" s="19">
        <f t="shared" si="65"/>
        <v>11181386</v>
      </c>
      <c r="F86" s="19">
        <f t="shared" si="65"/>
        <v>14139741</v>
      </c>
      <c r="G86" s="19">
        <f t="shared" si="65"/>
        <v>14215779</v>
      </c>
      <c r="H86" s="19">
        <f t="shared" si="65"/>
        <v>14124395</v>
      </c>
      <c r="I86" s="19">
        <f t="shared" si="65"/>
        <v>14030525</v>
      </c>
      <c r="J86" s="19">
        <f t="shared" ref="J86:O86" si="66">J5</f>
        <v>2891146</v>
      </c>
      <c r="K86" s="19">
        <f t="shared" si="66"/>
        <v>0</v>
      </c>
      <c r="L86" s="19">
        <f t="shared" si="66"/>
        <v>0</v>
      </c>
      <c r="M86" s="19">
        <f t="shared" si="66"/>
        <v>0</v>
      </c>
      <c r="N86" s="19">
        <f t="shared" si="66"/>
        <v>0</v>
      </c>
      <c r="O86" s="19">
        <f t="shared" si="66"/>
        <v>0</v>
      </c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</row>
    <row r="87" spans="1:15">
      <c r="A87" s="1" t="s">
        <v>23</v>
      </c>
      <c r="D87" s="19">
        <f t="shared" ref="D87:I87" si="67">(D24+D25)*2</f>
        <v>7501088</v>
      </c>
      <c r="E87" s="19">
        <f t="shared" si="67"/>
        <v>7967654</v>
      </c>
      <c r="F87" s="19">
        <f t="shared" si="67"/>
        <v>8270456</v>
      </c>
      <c r="G87" s="19">
        <f t="shared" si="67"/>
        <v>8340494</v>
      </c>
      <c r="H87" s="19">
        <f t="shared" si="67"/>
        <v>8580812</v>
      </c>
      <c r="I87" s="19">
        <f t="shared" si="67"/>
        <v>9071754</v>
      </c>
      <c r="J87" s="19">
        <f t="shared" ref="J87:O87" si="68">(J24+J25)*2</f>
        <v>8542706</v>
      </c>
      <c r="K87" s="19">
        <f t="shared" si="68"/>
        <v>0</v>
      </c>
      <c r="L87" s="19">
        <f t="shared" si="68"/>
        <v>0</v>
      </c>
      <c r="M87" s="19">
        <f t="shared" si="68"/>
        <v>0</v>
      </c>
      <c r="N87" s="19">
        <f t="shared" si="68"/>
        <v>0</v>
      </c>
      <c r="O87" s="19">
        <f t="shared" si="68"/>
        <v>0</v>
      </c>
    </row>
    <row r="88" spans="1:15">
      <c r="A88" s="1" t="s">
        <v>29</v>
      </c>
      <c r="D88" s="19">
        <f>(D43+D46)+(D44+D47)*(1-$C$31)</f>
        <v>14693069.22625</v>
      </c>
      <c r="E88" s="19">
        <f>(E43+E46)+(E44+E47)*(1-$C$31)</f>
        <v>15402334.2646</v>
      </c>
      <c r="F88" s="19">
        <f>(F43+F46)+(F44+F47)*(1-$C$31)</f>
        <v>15897813.1712</v>
      </c>
      <c r="G88" s="19">
        <f>(G43+G46)+(G44+G47)*(1-$C$31)</f>
        <v>15903151.7453</v>
      </c>
      <c r="H88" s="19">
        <f>(H43+H46)+(H44+H47)*(1-$C$31)</f>
        <v>16329199.924</v>
      </c>
      <c r="I88" s="19">
        <f>(I43+I46)+(I44+I47)*(1-$C$31)</f>
        <v>17321118.55065</v>
      </c>
      <c r="J88" s="19">
        <f t="shared" ref="J88:O88" si="69">(J43+J46)+(J44+J47)*(1-$C$31)</f>
        <v>27800315.15095</v>
      </c>
      <c r="K88" s="19">
        <f t="shared" si="69"/>
        <v>0</v>
      </c>
      <c r="L88" s="19">
        <f t="shared" si="69"/>
        <v>0</v>
      </c>
      <c r="M88" s="19">
        <f t="shared" si="69"/>
        <v>0</v>
      </c>
      <c r="N88" s="19">
        <f t="shared" si="69"/>
        <v>0</v>
      </c>
      <c r="O88" s="19">
        <f t="shared" si="69"/>
        <v>0</v>
      </c>
    </row>
    <row r="89" spans="1:65">
      <c r="A89" s="1" t="s">
        <v>46</v>
      </c>
      <c r="D89" s="19">
        <f>(D18+D19)*2+(D37+D40)+(D38+D41)*(1-$C$31)</f>
        <v>2940367.6338</v>
      </c>
      <c r="E89" s="19">
        <f>(E18+E19)*2+(E37+E40)+(E38+E41)*(1-$C$31)</f>
        <v>3133143.3841</v>
      </c>
      <c r="F89" s="19">
        <f>(F18+F19)*2+(F37+F40)+(F38+F41)*(1-$C$31)</f>
        <v>3256783.51795</v>
      </c>
      <c r="G89" s="19">
        <f>(G18+G19)*2+(G37+G40)+(G38+G41)*(1-$C$31)</f>
        <v>3249550.2582</v>
      </c>
      <c r="H89" s="19">
        <f>(H18+H19)*2+(H37+H40)+(H38+H41)*(1-$C$31)</f>
        <v>3350822.28525</v>
      </c>
      <c r="I89" s="19">
        <f>(I18+I19)*2+(I37+I40)+(I38+I41)*(1-$C$31)</f>
        <v>3577514.66345</v>
      </c>
      <c r="J89" s="19">
        <f t="shared" ref="J89:O89" si="70">(J18+J19)*2+(J37+J40)+(J38+J41)*(1-$C$31)</f>
        <v>3383949.25965</v>
      </c>
      <c r="K89" s="19">
        <f t="shared" si="70"/>
        <v>0</v>
      </c>
      <c r="L89" s="19">
        <f t="shared" si="70"/>
        <v>0</v>
      </c>
      <c r="M89" s="19">
        <f t="shared" si="70"/>
        <v>0</v>
      </c>
      <c r="N89" s="19">
        <f t="shared" si="70"/>
        <v>0</v>
      </c>
      <c r="O89" s="19">
        <f t="shared" si="70"/>
        <v>0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</row>
    <row r="90" spans="1:15">
      <c r="A90" s="1" t="s">
        <v>47</v>
      </c>
      <c r="D90" s="19">
        <f>D49+D50*(1-$C$31)</f>
        <v>1047443.65215</v>
      </c>
      <c r="E90" s="19">
        <f>E49+E50*(1-$C$31)</f>
        <v>1106874.99845</v>
      </c>
      <c r="F90" s="19">
        <f>F49+F50*(1-$C$31)</f>
        <v>1386983.4927</v>
      </c>
      <c r="G90" s="19">
        <f>G49+G50*(1-$C$31)</f>
        <v>1383970.3543</v>
      </c>
      <c r="H90" s="19">
        <f>H49+H50*(1-$C$31)</f>
        <v>1447065.28405</v>
      </c>
      <c r="I90" s="19">
        <f>I49+I50*(1-$C$31)</f>
        <v>1557929.57125</v>
      </c>
      <c r="J90" s="19">
        <f t="shared" ref="J90:O90" si="71">J49+J50*(1-$C$31)</f>
        <v>1445666.33735</v>
      </c>
      <c r="K90" s="19">
        <f t="shared" si="71"/>
        <v>0</v>
      </c>
      <c r="L90" s="19">
        <f t="shared" si="71"/>
        <v>0</v>
      </c>
      <c r="M90" s="19">
        <f t="shared" si="71"/>
        <v>0</v>
      </c>
      <c r="N90" s="19">
        <f t="shared" si="71"/>
        <v>0</v>
      </c>
      <c r="O90" s="19">
        <f t="shared" si="71"/>
        <v>0</v>
      </c>
    </row>
    <row r="91" spans="1:65">
      <c r="A91" s="9" t="s">
        <v>48</v>
      </c>
      <c r="B91" s="9"/>
      <c r="C91" s="7"/>
      <c r="D91" s="10"/>
      <c r="E91" s="10"/>
      <c r="F91" s="10"/>
      <c r="G91" s="10"/>
      <c r="H91" s="10"/>
      <c r="I91" s="10"/>
      <c r="J91"/>
      <c r="K91"/>
      <c r="L91"/>
      <c r="M91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</row>
    <row r="92" spans="1:65">
      <c r="A92" s="1" t="s">
        <v>5</v>
      </c>
      <c r="B92" s="2"/>
      <c r="D92" s="34">
        <f t="shared" ref="D92:I92" si="72">D86/D77</f>
        <v>0.298903547945504</v>
      </c>
      <c r="E92" s="34">
        <f t="shared" si="72"/>
        <v>0.288243995303466</v>
      </c>
      <c r="F92" s="34">
        <f t="shared" si="72"/>
        <v>0.329200371387077</v>
      </c>
      <c r="G92" s="34">
        <f t="shared" si="72"/>
        <v>0.32988645547355</v>
      </c>
      <c r="H92" s="34">
        <f t="shared" si="72"/>
        <v>0.322237180674149</v>
      </c>
      <c r="I92" s="34">
        <f t="shared" si="72"/>
        <v>0.307964918557515</v>
      </c>
      <c r="J92" s="34">
        <f t="shared" ref="J92:O92" si="73">J86/J77</f>
        <v>0.0656127508738343</v>
      </c>
      <c r="K92" s="34" t="e">
        <f t="shared" si="73"/>
        <v>#DIV/0!</v>
      </c>
      <c r="L92" s="34" t="e">
        <f t="shared" si="73"/>
        <v>#DIV/0!</v>
      </c>
      <c r="M92" s="34" t="e">
        <f t="shared" si="73"/>
        <v>#DIV/0!</v>
      </c>
      <c r="N92" s="34" t="e">
        <f t="shared" si="73"/>
        <v>#DIV/0!</v>
      </c>
      <c r="O92" s="34" t="e">
        <f t="shared" si="73"/>
        <v>#DIV/0!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</row>
    <row r="93" spans="1:15">
      <c r="A93" s="1" t="s">
        <v>23</v>
      </c>
      <c r="B93" s="2"/>
      <c r="D93" s="34">
        <f t="shared" ref="D93:I93" si="74">D87/D77</f>
        <v>0.200862902302324</v>
      </c>
      <c r="E93" s="34">
        <f t="shared" si="74"/>
        <v>0.205397472384518</v>
      </c>
      <c r="F93" s="34">
        <f t="shared" si="74"/>
        <v>0.19255212572426</v>
      </c>
      <c r="G93" s="34">
        <f t="shared" si="74"/>
        <v>0.193546621860006</v>
      </c>
      <c r="H93" s="34">
        <f t="shared" si="74"/>
        <v>0.195764609158474</v>
      </c>
      <c r="I93" s="34">
        <f t="shared" si="74"/>
        <v>0.199121699422068</v>
      </c>
      <c r="J93" s="34">
        <f t="shared" ref="J93:O93" si="75">J87/J77</f>
        <v>0.193871371617486</v>
      </c>
      <c r="K93" s="34" t="e">
        <f t="shared" si="75"/>
        <v>#DIV/0!</v>
      </c>
      <c r="L93" s="34" t="e">
        <f t="shared" si="75"/>
        <v>#DIV/0!</v>
      </c>
      <c r="M93" s="34" t="e">
        <f t="shared" si="75"/>
        <v>#DIV/0!</v>
      </c>
      <c r="N93" s="34" t="e">
        <f t="shared" si="75"/>
        <v>#DIV/0!</v>
      </c>
      <c r="O93" s="34" t="e">
        <f t="shared" si="75"/>
        <v>#DIV/0!</v>
      </c>
    </row>
    <row r="94" spans="1:15">
      <c r="A94" s="1" t="s">
        <v>29</v>
      </c>
      <c r="B94" s="2"/>
      <c r="D94" s="34">
        <f t="shared" ref="D94:I94" si="76">D88/D77</f>
        <v>0.393448594192408</v>
      </c>
      <c r="E94" s="34">
        <f t="shared" si="76"/>
        <v>0.397055460336292</v>
      </c>
      <c r="F94" s="34">
        <f t="shared" si="76"/>
        <v>0.370131673571772</v>
      </c>
      <c r="G94" s="34">
        <f t="shared" si="76"/>
        <v>0.369043044360426</v>
      </c>
      <c r="H94" s="34">
        <f t="shared" si="76"/>
        <v>0.372538104901079</v>
      </c>
      <c r="I94" s="34">
        <f t="shared" si="76"/>
        <v>0.380192249668204</v>
      </c>
      <c r="J94" s="34">
        <f t="shared" ref="J94:O94" si="77">J88/J77</f>
        <v>0.630910771096777</v>
      </c>
      <c r="K94" s="34" t="e">
        <f t="shared" si="77"/>
        <v>#DIV/0!</v>
      </c>
      <c r="L94" s="34" t="e">
        <f t="shared" si="77"/>
        <v>#DIV/0!</v>
      </c>
      <c r="M94" s="34" t="e">
        <f t="shared" si="77"/>
        <v>#DIV/0!</v>
      </c>
      <c r="N94" s="34" t="e">
        <f t="shared" si="77"/>
        <v>#DIV/0!</v>
      </c>
      <c r="O94" s="34" t="e">
        <f t="shared" si="77"/>
        <v>#DIV/0!</v>
      </c>
    </row>
    <row r="95" spans="1:65">
      <c r="A95" s="1" t="s">
        <v>46</v>
      </c>
      <c r="B95" s="2"/>
      <c r="D95" s="34">
        <f t="shared" ref="D95:I95" si="78">D89/D77</f>
        <v>0.0787366815001884</v>
      </c>
      <c r="E95" s="34">
        <f t="shared" si="78"/>
        <v>0.0807690358683266</v>
      </c>
      <c r="F95" s="34">
        <f t="shared" si="78"/>
        <v>0.0758241854385063</v>
      </c>
      <c r="G95" s="34">
        <f t="shared" si="78"/>
        <v>0.0754079404695836</v>
      </c>
      <c r="H95" s="34">
        <f t="shared" si="78"/>
        <v>0.0764464266355527</v>
      </c>
      <c r="I95" s="34">
        <f t="shared" si="78"/>
        <v>0.0785251451365999</v>
      </c>
      <c r="J95" s="34">
        <f t="shared" ref="J95:O95" si="79">J89/J77</f>
        <v>0.076796612742183</v>
      </c>
      <c r="K95" s="34" t="e">
        <f t="shared" si="79"/>
        <v>#DIV/0!</v>
      </c>
      <c r="L95" s="34" t="e">
        <f t="shared" si="79"/>
        <v>#DIV/0!</v>
      </c>
      <c r="M95" s="34" t="e">
        <f t="shared" si="79"/>
        <v>#DIV/0!</v>
      </c>
      <c r="N95" s="34" t="e">
        <f t="shared" si="79"/>
        <v>#DIV/0!</v>
      </c>
      <c r="O95" s="34" t="e">
        <f t="shared" si="79"/>
        <v>#DIV/0!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</row>
    <row r="96" spans="1:15">
      <c r="A96" s="1" t="s">
        <v>47</v>
      </c>
      <c r="B96" s="2"/>
      <c r="D96" s="34">
        <f t="shared" ref="D96:I96" si="80">D90/D77</f>
        <v>0.0280482740595758</v>
      </c>
      <c r="E96" s="34">
        <f t="shared" si="80"/>
        <v>0.0285340361073972</v>
      </c>
      <c r="F96" s="34">
        <f t="shared" si="80"/>
        <v>0.032291643878384</v>
      </c>
      <c r="G96" s="34">
        <f t="shared" si="80"/>
        <v>0.0321159378364351</v>
      </c>
      <c r="H96" s="34">
        <f t="shared" si="80"/>
        <v>0.0330136786307455</v>
      </c>
      <c r="I96" s="34">
        <f t="shared" si="80"/>
        <v>0.0341959872156138</v>
      </c>
      <c r="J96" s="34">
        <f t="shared" ref="J96:O96" si="81">J90/J77</f>
        <v>0.0328084936697192</v>
      </c>
      <c r="K96" s="34" t="e">
        <f t="shared" si="81"/>
        <v>#DIV/0!</v>
      </c>
      <c r="L96" s="34" t="e">
        <f t="shared" si="81"/>
        <v>#DIV/0!</v>
      </c>
      <c r="M96" s="34" t="e">
        <f t="shared" si="81"/>
        <v>#DIV/0!</v>
      </c>
      <c r="N96" s="34" t="e">
        <f t="shared" si="81"/>
        <v>#DIV/0!</v>
      </c>
      <c r="O96" s="34" t="e">
        <f t="shared" si="81"/>
        <v>#DIV/0!</v>
      </c>
    </row>
    <row r="97" ht="7.5" customHeight="1" spans="3:65">
      <c r="C97" s="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</row>
    <row r="98" spans="1:15">
      <c r="A98" s="35" t="s">
        <v>49</v>
      </c>
      <c r="B98" s="35"/>
      <c r="C98" s="36"/>
      <c r="D98" s="37">
        <f t="shared" ref="D98:I98" si="82">SUM(D99:D103)</f>
        <v>14852381.45815</v>
      </c>
      <c r="E98" s="37">
        <f t="shared" si="82"/>
        <v>15576286.62845</v>
      </c>
      <c r="F98" s="37">
        <f t="shared" si="82"/>
        <v>16817587.0963</v>
      </c>
      <c r="G98" s="37">
        <f t="shared" si="82"/>
        <v>16911869.86265</v>
      </c>
      <c r="H98" s="37">
        <f t="shared" si="82"/>
        <v>17487343.87645</v>
      </c>
      <c r="I98" s="37">
        <f t="shared" si="82"/>
        <v>18245534.76275</v>
      </c>
      <c r="J98" s="37">
        <f t="shared" ref="J98:O98" si="83">SUM(J99:J103)</f>
        <v>17984124.27075</v>
      </c>
      <c r="K98" s="37">
        <f t="shared" si="83"/>
        <v>0</v>
      </c>
      <c r="L98" s="37">
        <f t="shared" si="83"/>
        <v>0</v>
      </c>
      <c r="M98" s="37">
        <f t="shared" si="83"/>
        <v>0</v>
      </c>
      <c r="N98" s="37">
        <f t="shared" si="83"/>
        <v>0</v>
      </c>
      <c r="O98" s="37">
        <f t="shared" si="83"/>
        <v>0</v>
      </c>
    </row>
    <row r="99" spans="1:15">
      <c r="A99" s="1" t="s">
        <v>5</v>
      </c>
      <c r="D99" s="19">
        <f t="shared" ref="D99:I99" si="84">SUM(D6:D7)</f>
        <v>3214305</v>
      </c>
      <c r="E99" s="19">
        <f t="shared" si="84"/>
        <v>3258875</v>
      </c>
      <c r="F99" s="19">
        <f t="shared" si="84"/>
        <v>3824331</v>
      </c>
      <c r="G99" s="19">
        <f t="shared" si="84"/>
        <v>3888589</v>
      </c>
      <c r="H99" s="19">
        <f t="shared" si="84"/>
        <v>4073300</v>
      </c>
      <c r="I99" s="19">
        <f t="shared" si="84"/>
        <v>3996374</v>
      </c>
      <c r="J99" s="19">
        <f t="shared" ref="J99:O99" si="85">SUM(J6:J7)</f>
        <v>2407859</v>
      </c>
      <c r="K99" s="19">
        <f t="shared" si="85"/>
        <v>0</v>
      </c>
      <c r="L99" s="19">
        <f t="shared" si="85"/>
        <v>0</v>
      </c>
      <c r="M99" s="19">
        <f t="shared" si="85"/>
        <v>0</v>
      </c>
      <c r="N99" s="19">
        <f t="shared" si="85"/>
        <v>0</v>
      </c>
      <c r="O99" s="19">
        <f t="shared" si="85"/>
        <v>0</v>
      </c>
    </row>
    <row r="100" spans="1:15">
      <c r="A100" s="1" t="s">
        <v>23</v>
      </c>
      <c r="D100" s="19">
        <f>(D24+D25)+(D52+D53*(1-$C$31))</f>
        <v>3750544</v>
      </c>
      <c r="E100" s="19">
        <f>(E24+E25)+(E52+E53*(1-$C$31))</f>
        <v>3983827</v>
      </c>
      <c r="F100" s="19">
        <f>(F24+F25)+(F52+F53*(1-$C$31))</f>
        <v>4135228</v>
      </c>
      <c r="G100" s="19">
        <f>(G24+G25)+(G52+G53*(1-$C$31))</f>
        <v>4170247</v>
      </c>
      <c r="H100" s="19">
        <f>(H24+H25)+(H52+H53*(1-$C$31))</f>
        <v>4290406</v>
      </c>
      <c r="I100" s="19">
        <f>(I24+I25)+(I52+I53*(1-$C$31))</f>
        <v>4535877</v>
      </c>
      <c r="J100" s="19">
        <f t="shared" ref="J100:O100" si="86">(J24+J25)+(J52+J53*(1-$C$31))</f>
        <v>4271353</v>
      </c>
      <c r="K100" s="19">
        <f t="shared" si="86"/>
        <v>0</v>
      </c>
      <c r="L100" s="19">
        <f t="shared" si="86"/>
        <v>0</v>
      </c>
      <c r="M100" s="19">
        <f t="shared" si="86"/>
        <v>0</v>
      </c>
      <c r="N100" s="19">
        <f t="shared" si="86"/>
        <v>0</v>
      </c>
      <c r="O100" s="19">
        <f t="shared" si="86"/>
        <v>0</v>
      </c>
    </row>
    <row r="101" spans="1:15">
      <c r="A101" s="1" t="s">
        <v>29</v>
      </c>
      <c r="D101" s="19">
        <f>D43+D44*(1-$C$31)</f>
        <v>5353150.7659</v>
      </c>
      <c r="E101" s="19">
        <f>E43+E44*(1-$C$31)</f>
        <v>5642244.7585</v>
      </c>
      <c r="F101" s="19">
        <f>F43+F44*(1-$C$31)</f>
        <v>5824179.9568</v>
      </c>
      <c r="G101" s="19">
        <f>G43+G44*(1-$C$31)</f>
        <v>5825849.35755</v>
      </c>
      <c r="H101" s="19">
        <f>H43+H44*(1-$C$31)</f>
        <v>5982247.10705</v>
      </c>
      <c r="I101" s="19">
        <f>I43+I44*(1-$C$31)</f>
        <v>6346618.7223</v>
      </c>
      <c r="J101" s="19">
        <f t="shared" ref="J101:O101" si="87">J43+J44*(1-$C$31)</f>
        <v>8147668.02785</v>
      </c>
      <c r="K101" s="19">
        <f t="shared" si="87"/>
        <v>0</v>
      </c>
      <c r="L101" s="19">
        <f t="shared" si="87"/>
        <v>0</v>
      </c>
      <c r="M101" s="19">
        <f t="shared" si="87"/>
        <v>0</v>
      </c>
      <c r="N101" s="19">
        <f t="shared" si="87"/>
        <v>0</v>
      </c>
      <c r="O101" s="19">
        <f t="shared" si="87"/>
        <v>0</v>
      </c>
    </row>
    <row r="102" spans="1:15">
      <c r="A102" s="1" t="s">
        <v>46</v>
      </c>
      <c r="D102" s="19">
        <f>(D18+D19)+(D37+D38*(1-$C$31))</f>
        <v>1486938.0401</v>
      </c>
      <c r="E102" s="19">
        <f>(E18+E19)+(E37+E38*(1-$C$31))</f>
        <v>1584464.8715</v>
      </c>
      <c r="F102" s="19">
        <f>(F18+F19)+(F37+F38*(1-$C$31))</f>
        <v>1646864.6468</v>
      </c>
      <c r="G102" s="19">
        <f>(G18+G19)+(G37+G38*(1-$C$31))</f>
        <v>1643214.1508</v>
      </c>
      <c r="H102" s="19">
        <f>(H18+H19)+(H37+H38*(1-$C$31))</f>
        <v>1694325.48535</v>
      </c>
      <c r="I102" s="19">
        <f>(I18+I19)+(I37+I38*(1-$C$31))</f>
        <v>1808735.4692</v>
      </c>
      <c r="J102" s="19">
        <f t="shared" ref="J102:O102" si="88">(J18+J19)+(J37+J38*(1-$C$31))</f>
        <v>1711577.90555</v>
      </c>
      <c r="K102" s="19">
        <f t="shared" si="88"/>
        <v>0</v>
      </c>
      <c r="L102" s="19">
        <f t="shared" si="88"/>
        <v>0</v>
      </c>
      <c r="M102" s="19">
        <f t="shared" si="88"/>
        <v>0</v>
      </c>
      <c r="N102" s="19">
        <f t="shared" si="88"/>
        <v>0</v>
      </c>
      <c r="O102" s="19">
        <f t="shared" si="88"/>
        <v>0</v>
      </c>
    </row>
    <row r="103" spans="1:15">
      <c r="A103" s="1" t="s">
        <v>47</v>
      </c>
      <c r="D103" s="19">
        <f>D49+D50*(1-$C$31)</f>
        <v>1047443.65215</v>
      </c>
      <c r="E103" s="19">
        <f>E49+E50*(1-$C$31)</f>
        <v>1106874.99845</v>
      </c>
      <c r="F103" s="19">
        <f>F49+F50*(1-$C$31)</f>
        <v>1386983.4927</v>
      </c>
      <c r="G103" s="19">
        <f>G49+G50*(1-$C$31)</f>
        <v>1383970.3543</v>
      </c>
      <c r="H103" s="19">
        <f>H49+H50*(1-$C$31)</f>
        <v>1447065.28405</v>
      </c>
      <c r="I103" s="19">
        <f>I49+I50*(1-$C$31)</f>
        <v>1557929.57125</v>
      </c>
      <c r="J103" s="19">
        <f t="shared" ref="J103:O103" si="89">J49+J50*(1-$C$31)</f>
        <v>1445666.33735</v>
      </c>
      <c r="K103" s="19">
        <f t="shared" si="89"/>
        <v>0</v>
      </c>
      <c r="L103" s="19">
        <f t="shared" si="89"/>
        <v>0</v>
      </c>
      <c r="M103" s="19">
        <f t="shared" si="89"/>
        <v>0</v>
      </c>
      <c r="N103" s="19">
        <f t="shared" si="89"/>
        <v>0</v>
      </c>
      <c r="O103" s="19">
        <f t="shared" si="89"/>
        <v>0</v>
      </c>
    </row>
    <row r="104" spans="1:9">
      <c r="A104" s="35" t="s">
        <v>50</v>
      </c>
      <c r="B104" s="35"/>
      <c r="C104" s="36"/>
      <c r="I104" s="10"/>
    </row>
    <row r="105" spans="1:15">
      <c r="A105" s="1" t="s">
        <v>5</v>
      </c>
      <c r="D105" s="34">
        <f t="shared" ref="D105:I105" si="90">D99/D98</f>
        <v>0.216416808917617</v>
      </c>
      <c r="E105" s="34">
        <f t="shared" si="90"/>
        <v>0.209220276805107</v>
      </c>
      <c r="F105" s="34">
        <f t="shared" si="90"/>
        <v>0.227400695361428</v>
      </c>
      <c r="G105" s="34">
        <f t="shared" si="90"/>
        <v>0.229932528548365</v>
      </c>
      <c r="H105" s="34">
        <f t="shared" si="90"/>
        <v>0.232928455503495</v>
      </c>
      <c r="I105" s="34">
        <f t="shared" si="90"/>
        <v>0.219032988178509</v>
      </c>
      <c r="J105" s="34">
        <f t="shared" ref="J105:O105" si="91">J99/J98</f>
        <v>0.133888031674482</v>
      </c>
      <c r="K105" s="34" t="e">
        <f t="shared" si="91"/>
        <v>#DIV/0!</v>
      </c>
      <c r="L105" s="34" t="e">
        <f t="shared" si="91"/>
        <v>#DIV/0!</v>
      </c>
      <c r="M105" s="34" t="e">
        <f t="shared" si="91"/>
        <v>#DIV/0!</v>
      </c>
      <c r="N105" s="34" t="e">
        <f t="shared" si="91"/>
        <v>#DIV/0!</v>
      </c>
      <c r="O105" s="34" t="e">
        <f t="shared" si="91"/>
        <v>#DIV/0!</v>
      </c>
    </row>
    <row r="106" spans="1:15">
      <c r="A106" s="1" t="s">
        <v>23</v>
      </c>
      <c r="D106" s="34">
        <f t="shared" ref="D106:I106" si="92">D100/D98</f>
        <v>0.252521389284811</v>
      </c>
      <c r="E106" s="34">
        <f t="shared" si="92"/>
        <v>0.255762306834003</v>
      </c>
      <c r="F106" s="34">
        <f t="shared" si="92"/>
        <v>0.245887116642897</v>
      </c>
      <c r="G106" s="34">
        <f t="shared" si="92"/>
        <v>0.246586984991531</v>
      </c>
      <c r="H106" s="34">
        <f t="shared" si="92"/>
        <v>0.245343491287882</v>
      </c>
      <c r="I106" s="34">
        <f t="shared" si="92"/>
        <v>0.248602031071209</v>
      </c>
      <c r="J106" s="34">
        <f t="shared" ref="J106:O106" si="93">J100/J98</f>
        <v>0.23750686637253</v>
      </c>
      <c r="K106" s="34" t="e">
        <f t="shared" si="93"/>
        <v>#DIV/0!</v>
      </c>
      <c r="L106" s="34" t="e">
        <f t="shared" si="93"/>
        <v>#DIV/0!</v>
      </c>
      <c r="M106" s="34" t="e">
        <f t="shared" si="93"/>
        <v>#DIV/0!</v>
      </c>
      <c r="N106" s="34" t="e">
        <f t="shared" si="93"/>
        <v>#DIV/0!</v>
      </c>
      <c r="O106" s="34" t="e">
        <f t="shared" si="93"/>
        <v>#DIV/0!</v>
      </c>
    </row>
    <row r="107" spans="1:15">
      <c r="A107" s="1" t="s">
        <v>29</v>
      </c>
      <c r="D107" s="34">
        <f t="shared" ref="D107:I107" si="94">D101/D98</f>
        <v>0.360423732785462</v>
      </c>
      <c r="E107" s="34">
        <f t="shared" si="94"/>
        <v>0.362232982294668</v>
      </c>
      <c r="F107" s="34">
        <f t="shared" si="94"/>
        <v>0.346314838356411</v>
      </c>
      <c r="G107" s="34">
        <f t="shared" si="94"/>
        <v>0.34448286350739</v>
      </c>
      <c r="H107" s="34">
        <f t="shared" si="94"/>
        <v>0.342090093802423</v>
      </c>
      <c r="I107" s="34">
        <f t="shared" si="94"/>
        <v>0.347845037420182</v>
      </c>
      <c r="J107" s="34">
        <f t="shared" ref="J107:O107" si="95">J101/J98</f>
        <v>0.453047805118965</v>
      </c>
      <c r="K107" s="34" t="e">
        <f t="shared" si="95"/>
        <v>#DIV/0!</v>
      </c>
      <c r="L107" s="34" t="e">
        <f t="shared" si="95"/>
        <v>#DIV/0!</v>
      </c>
      <c r="M107" s="34" t="e">
        <f t="shared" si="95"/>
        <v>#DIV/0!</v>
      </c>
      <c r="N107" s="34" t="e">
        <f t="shared" si="95"/>
        <v>#DIV/0!</v>
      </c>
      <c r="O107" s="34" t="e">
        <f t="shared" si="95"/>
        <v>#DIV/0!</v>
      </c>
    </row>
    <row r="108" spans="1:15">
      <c r="A108" s="1" t="s">
        <v>46</v>
      </c>
      <c r="D108" s="34">
        <f t="shared" ref="D108:I108" si="96">D102/D98</f>
        <v>0.100114452641133</v>
      </c>
      <c r="E108" s="34">
        <f t="shared" si="96"/>
        <v>0.101722888727919</v>
      </c>
      <c r="F108" s="34">
        <f t="shared" si="96"/>
        <v>0.0979251445150727</v>
      </c>
      <c r="G108" s="34">
        <f t="shared" si="96"/>
        <v>0.0971633630193106</v>
      </c>
      <c r="H108" s="34">
        <f t="shared" si="96"/>
        <v>0.096888669732842</v>
      </c>
      <c r="I108" s="34">
        <f t="shared" si="96"/>
        <v>0.0991330477686358</v>
      </c>
      <c r="J108" s="34">
        <f t="shared" ref="J108:O108" si="97">J102/J98</f>
        <v>0.0951716013402871</v>
      </c>
      <c r="K108" s="34" t="e">
        <f t="shared" si="97"/>
        <v>#DIV/0!</v>
      </c>
      <c r="L108" s="34" t="e">
        <f t="shared" si="97"/>
        <v>#DIV/0!</v>
      </c>
      <c r="M108" s="34" t="e">
        <f t="shared" si="97"/>
        <v>#DIV/0!</v>
      </c>
      <c r="N108" s="34" t="e">
        <f t="shared" si="97"/>
        <v>#DIV/0!</v>
      </c>
      <c r="O108" s="34" t="e">
        <f t="shared" si="97"/>
        <v>#DIV/0!</v>
      </c>
    </row>
    <row r="109" spans="1:15">
      <c r="A109" s="1" t="s">
        <v>47</v>
      </c>
      <c r="D109" s="34">
        <f t="shared" ref="D109:I109" si="98">D103/D98</f>
        <v>0.0705236163709782</v>
      </c>
      <c r="E109" s="34">
        <f t="shared" si="98"/>
        <v>0.0710615453383028</v>
      </c>
      <c r="F109" s="34">
        <f t="shared" si="98"/>
        <v>0.0824722051241909</v>
      </c>
      <c r="G109" s="34">
        <f t="shared" si="98"/>
        <v>0.0818342599334039</v>
      </c>
      <c r="H109" s="34">
        <f t="shared" si="98"/>
        <v>0.0827492896733589</v>
      </c>
      <c r="I109" s="34">
        <f t="shared" si="98"/>
        <v>0.0853868955614643</v>
      </c>
      <c r="J109" s="34">
        <f t="shared" ref="J109:O109" si="99">J103/J98</f>
        <v>0.0803856954937351</v>
      </c>
      <c r="K109" s="34" t="e">
        <f t="shared" si="99"/>
        <v>#DIV/0!</v>
      </c>
      <c r="L109" s="34" t="e">
        <f t="shared" si="99"/>
        <v>#DIV/0!</v>
      </c>
      <c r="M109" s="34" t="e">
        <f t="shared" si="99"/>
        <v>#DIV/0!</v>
      </c>
      <c r="N109" s="34" t="e">
        <f t="shared" si="99"/>
        <v>#DIV/0!</v>
      </c>
      <c r="O109" s="34" t="e">
        <f t="shared" si="99"/>
        <v>#DIV/0!</v>
      </c>
    </row>
    <row r="110" ht="7.5" customHeight="1" spans="3:65"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</row>
    <row r="111" spans="1:15">
      <c r="A111" s="38" t="s">
        <v>51</v>
      </c>
      <c r="B111" s="38"/>
      <c r="C111" s="39"/>
      <c r="D111" s="40">
        <f t="shared" ref="D111:I111" si="100">SUM(D112:D115)</f>
        <v>27240045.05405</v>
      </c>
      <c r="E111" s="40">
        <f t="shared" si="100"/>
        <v>28305817.0187</v>
      </c>
      <c r="F111" s="40">
        <f t="shared" si="100"/>
        <v>28748033.08555</v>
      </c>
      <c r="G111" s="40">
        <f t="shared" si="100"/>
        <v>29287476.49515</v>
      </c>
      <c r="H111" s="40">
        <f t="shared" si="100"/>
        <v>29697780.61685</v>
      </c>
      <c r="I111" s="40">
        <f t="shared" si="100"/>
        <v>31006039.0226</v>
      </c>
      <c r="J111" s="40">
        <f t="shared" ref="J111:O111" si="101">SUM(J112:J115)</f>
        <v>28259188.4772</v>
      </c>
      <c r="K111" s="40">
        <f t="shared" si="101"/>
        <v>0</v>
      </c>
      <c r="L111" s="40">
        <f t="shared" si="101"/>
        <v>0</v>
      </c>
      <c r="M111" s="40">
        <f t="shared" si="101"/>
        <v>0</v>
      </c>
      <c r="N111" s="40">
        <f t="shared" si="101"/>
        <v>0</v>
      </c>
      <c r="O111" s="40">
        <f t="shared" si="101"/>
        <v>0</v>
      </c>
    </row>
    <row r="112" spans="1:15">
      <c r="A112" s="1" t="s">
        <v>5</v>
      </c>
      <c r="D112" s="19">
        <f t="shared" ref="D112:I112" si="102">SUM(D9:D12)</f>
        <v>12696153</v>
      </c>
      <c r="E112" s="19">
        <f t="shared" si="102"/>
        <v>13013222</v>
      </c>
      <c r="F112" s="19">
        <f t="shared" si="102"/>
        <v>12929253</v>
      </c>
      <c r="G112" s="19">
        <f t="shared" si="102"/>
        <v>13433591</v>
      </c>
      <c r="H112" s="19">
        <f t="shared" si="102"/>
        <v>13403925</v>
      </c>
      <c r="I112" s="19">
        <f t="shared" si="102"/>
        <v>13726883</v>
      </c>
      <c r="J112" s="19">
        <f t="shared" ref="J112:O112" si="103">SUM(J9:J12)</f>
        <v>2662817</v>
      </c>
      <c r="K112" s="19">
        <f t="shared" si="103"/>
        <v>0</v>
      </c>
      <c r="L112" s="19">
        <f t="shared" si="103"/>
        <v>0</v>
      </c>
      <c r="M112" s="19">
        <f t="shared" si="103"/>
        <v>0</v>
      </c>
      <c r="N112" s="19">
        <f t="shared" si="103"/>
        <v>0</v>
      </c>
      <c r="O112" s="19">
        <f t="shared" si="103"/>
        <v>0</v>
      </c>
    </row>
    <row r="113" spans="1:15">
      <c r="A113" s="1" t="s">
        <v>23</v>
      </c>
      <c r="D113" s="19">
        <f>(D27+D28)+(D55+D56*(1-$C$31))</f>
        <v>3750544</v>
      </c>
      <c r="E113" s="19">
        <f>(E27+E28)+(E55+E56*(1-$C$31))</f>
        <v>3983827</v>
      </c>
      <c r="F113" s="19">
        <f>(F27+F28)+(F55+F56*(1-$C$31))</f>
        <v>4135228</v>
      </c>
      <c r="G113" s="19">
        <f>(G27+G28)+(G55+G56*(1-$C$31))</f>
        <v>4170247</v>
      </c>
      <c r="H113" s="19">
        <f>(H27+H28)+(H55+H56*(1-$C$31))</f>
        <v>4290406</v>
      </c>
      <c r="I113" s="19">
        <f>(I27+I28)+(I55+I56*(1-$C$31))</f>
        <v>4535877</v>
      </c>
      <c r="J113" s="19">
        <f t="shared" ref="J113:O113" si="104">(J27+J28)+(J55+J56*(1-$C$31))</f>
        <v>4271353</v>
      </c>
      <c r="K113" s="19">
        <f t="shared" si="104"/>
        <v>0</v>
      </c>
      <c r="L113" s="19">
        <f t="shared" si="104"/>
        <v>0</v>
      </c>
      <c r="M113" s="19">
        <f t="shared" si="104"/>
        <v>0</v>
      </c>
      <c r="N113" s="19">
        <f t="shared" si="104"/>
        <v>0</v>
      </c>
      <c r="O113" s="19">
        <f t="shared" si="104"/>
        <v>0</v>
      </c>
    </row>
    <row r="114" spans="1:15">
      <c r="A114" s="1" t="s">
        <v>29</v>
      </c>
      <c r="D114" s="19">
        <f>D46+D47*(1-$C$31)</f>
        <v>9339918.46035</v>
      </c>
      <c r="E114" s="19">
        <f>E46+E47*(1-$C$31)</f>
        <v>9760089.5061</v>
      </c>
      <c r="F114" s="19">
        <f>F46+F47*(1-$C$31)</f>
        <v>10073633.2144</v>
      </c>
      <c r="G114" s="19">
        <f>G46+G47*(1-$C$31)</f>
        <v>10077302.38775</v>
      </c>
      <c r="H114" s="19">
        <f>H46+H47*(1-$C$31)</f>
        <v>10346952.81695</v>
      </c>
      <c r="I114" s="19">
        <f>I46+I47*(1-$C$31)</f>
        <v>10974499.82835</v>
      </c>
      <c r="J114" s="19">
        <f t="shared" ref="J114:O114" si="105">J46+J47*(1-$C$31)</f>
        <v>19652647.1231</v>
      </c>
      <c r="K114" s="19">
        <f t="shared" si="105"/>
        <v>0</v>
      </c>
      <c r="L114" s="19">
        <f t="shared" si="105"/>
        <v>0</v>
      </c>
      <c r="M114" s="19">
        <f t="shared" si="105"/>
        <v>0</v>
      </c>
      <c r="N114" s="19">
        <f t="shared" si="105"/>
        <v>0</v>
      </c>
      <c r="O114" s="19">
        <f t="shared" si="105"/>
        <v>0</v>
      </c>
    </row>
    <row r="115" spans="1:15">
      <c r="A115" s="1" t="s">
        <v>46</v>
      </c>
      <c r="D115" s="19">
        <f>(D21+D22)+(D40+D41*(1-$C$31))</f>
        <v>1453429.5937</v>
      </c>
      <c r="E115" s="19">
        <f>(E21+E22)+(E40+E41*(1-$C$31))</f>
        <v>1548678.5126</v>
      </c>
      <c r="F115" s="19">
        <f>(F21+F22)+(F40+F41*(1-$C$31))</f>
        <v>1609918.87115</v>
      </c>
      <c r="G115" s="19">
        <f>(G21+G22)+(G40+G41*(1-$C$31))</f>
        <v>1606336.1074</v>
      </c>
      <c r="H115" s="19">
        <f>(H21+H22)+(H40+H41*(1-$C$31))</f>
        <v>1656496.7999</v>
      </c>
      <c r="I115" s="19">
        <f>(I21+I22)+(I40+I41*(1-$C$31))</f>
        <v>1768779.19425</v>
      </c>
      <c r="J115" s="19">
        <f t="shared" ref="J115:O115" si="106">(J21+J22)+(J40+J41*(1-$C$31))</f>
        <v>1672371.3541</v>
      </c>
      <c r="K115" s="19">
        <f t="shared" si="106"/>
        <v>0</v>
      </c>
      <c r="L115" s="19">
        <f t="shared" si="106"/>
        <v>0</v>
      </c>
      <c r="M115" s="19">
        <f t="shared" si="106"/>
        <v>0</v>
      </c>
      <c r="N115" s="19">
        <f t="shared" si="106"/>
        <v>0</v>
      </c>
      <c r="O115" s="19">
        <f t="shared" si="106"/>
        <v>0</v>
      </c>
    </row>
    <row r="116" spans="1:9">
      <c r="A116" s="38" t="s">
        <v>52</v>
      </c>
      <c r="B116" s="38"/>
      <c r="C116" s="39"/>
      <c r="I116" s="19"/>
    </row>
    <row r="117" spans="1:15">
      <c r="A117" s="1" t="s">
        <v>5</v>
      </c>
      <c r="D117" s="34">
        <f t="shared" ref="D117:I117" si="107">D112/D111</f>
        <v>0.466084141006674</v>
      </c>
      <c r="E117" s="34">
        <f t="shared" si="107"/>
        <v>0.459736667957789</v>
      </c>
      <c r="F117" s="34">
        <f t="shared" si="107"/>
        <v>0.449743916793347</v>
      </c>
      <c r="G117" s="34">
        <f t="shared" si="107"/>
        <v>0.458680385188686</v>
      </c>
      <c r="H117" s="34">
        <f t="shared" si="107"/>
        <v>0.451344333535646</v>
      </c>
      <c r="I117" s="34">
        <f t="shared" si="107"/>
        <v>0.442716433079201</v>
      </c>
      <c r="J117" s="34">
        <f t="shared" ref="J117:O117" si="108">J112/J111</f>
        <v>0.0942283605259368</v>
      </c>
      <c r="K117" s="34" t="e">
        <f t="shared" si="108"/>
        <v>#DIV/0!</v>
      </c>
      <c r="L117" s="34" t="e">
        <f t="shared" si="108"/>
        <v>#DIV/0!</v>
      </c>
      <c r="M117" s="34" t="e">
        <f t="shared" si="108"/>
        <v>#DIV/0!</v>
      </c>
      <c r="N117" s="34" t="e">
        <f t="shared" si="108"/>
        <v>#DIV/0!</v>
      </c>
      <c r="O117" s="34" t="e">
        <f t="shared" si="108"/>
        <v>#DIV/0!</v>
      </c>
    </row>
    <row r="118" spans="1:15">
      <c r="A118" s="1" t="s">
        <v>23</v>
      </c>
      <c r="D118" s="34">
        <f t="shared" ref="D118:I118" si="109">D113/D111</f>
        <v>0.137684941143017</v>
      </c>
      <c r="E118" s="34">
        <f t="shared" si="109"/>
        <v>0.140742342726519</v>
      </c>
      <c r="F118" s="34">
        <f t="shared" si="109"/>
        <v>0.143843858384821</v>
      </c>
      <c r="G118" s="34">
        <f t="shared" si="109"/>
        <v>0.142390110007962</v>
      </c>
      <c r="H118" s="34">
        <f t="shared" si="109"/>
        <v>0.144468910163802</v>
      </c>
      <c r="I118" s="34">
        <f t="shared" si="109"/>
        <v>0.146290114538456</v>
      </c>
      <c r="J118" s="34">
        <f t="shared" ref="J118:O118" si="110">J113/J111</f>
        <v>0.151149174133086</v>
      </c>
      <c r="K118" s="34" t="e">
        <f t="shared" si="110"/>
        <v>#DIV/0!</v>
      </c>
      <c r="L118" s="34" t="e">
        <f t="shared" si="110"/>
        <v>#DIV/0!</v>
      </c>
      <c r="M118" s="34" t="e">
        <f t="shared" si="110"/>
        <v>#DIV/0!</v>
      </c>
      <c r="N118" s="34" t="e">
        <f t="shared" si="110"/>
        <v>#DIV/0!</v>
      </c>
      <c r="O118" s="34" t="e">
        <f t="shared" si="110"/>
        <v>#DIV/0!</v>
      </c>
    </row>
    <row r="119" spans="1:15">
      <c r="A119" s="1" t="s">
        <v>29</v>
      </c>
      <c r="D119" s="34">
        <f t="shared" ref="D119:I119" si="111">D114/D111</f>
        <v>0.342874559928871</v>
      </c>
      <c r="E119" s="34">
        <f t="shared" si="111"/>
        <v>0.344808613001776</v>
      </c>
      <c r="F119" s="34">
        <f t="shared" si="111"/>
        <v>0.350411215418541</v>
      </c>
      <c r="G119" s="34">
        <f t="shared" si="111"/>
        <v>0.34408230389596</v>
      </c>
      <c r="H119" s="34">
        <f t="shared" si="111"/>
        <v>0.348408285132234</v>
      </c>
      <c r="I119" s="34">
        <f t="shared" si="111"/>
        <v>0.353947172044478</v>
      </c>
      <c r="J119" s="34">
        <f t="shared" ref="J119:O119" si="112">J114/J111</f>
        <v>0.695442727909759</v>
      </c>
      <c r="K119" s="34" t="e">
        <f t="shared" si="112"/>
        <v>#DIV/0!</v>
      </c>
      <c r="L119" s="34" t="e">
        <f t="shared" si="112"/>
        <v>#DIV/0!</v>
      </c>
      <c r="M119" s="34" t="e">
        <f t="shared" si="112"/>
        <v>#DIV/0!</v>
      </c>
      <c r="N119" s="34" t="e">
        <f t="shared" si="112"/>
        <v>#DIV/0!</v>
      </c>
      <c r="O119" s="34" t="e">
        <f t="shared" si="112"/>
        <v>#DIV/0!</v>
      </c>
    </row>
    <row r="120" spans="1:15">
      <c r="A120" s="1" t="s">
        <v>46</v>
      </c>
      <c r="D120" s="34">
        <f t="shared" ref="D120:I120" si="113">D115/D111</f>
        <v>0.0533563579214384</v>
      </c>
      <c r="E120" s="34">
        <f t="shared" si="113"/>
        <v>0.0547123763139173</v>
      </c>
      <c r="F120" s="34">
        <f t="shared" si="113"/>
        <v>0.0560010094032908</v>
      </c>
      <c r="G120" s="34">
        <f t="shared" si="113"/>
        <v>0.0548472009073916</v>
      </c>
      <c r="H120" s="34">
        <f t="shared" si="113"/>
        <v>0.055778471168318</v>
      </c>
      <c r="I120" s="34">
        <f t="shared" si="113"/>
        <v>0.0570462803378643</v>
      </c>
      <c r="J120" s="34">
        <f t="shared" ref="J120:O120" si="114">J115/J111</f>
        <v>0.0591797374312181</v>
      </c>
      <c r="K120" s="34" t="e">
        <f t="shared" si="114"/>
        <v>#DIV/0!</v>
      </c>
      <c r="L120" s="34" t="e">
        <f t="shared" si="114"/>
        <v>#DIV/0!</v>
      </c>
      <c r="M120" s="34" t="e">
        <f t="shared" si="114"/>
        <v>#DIV/0!</v>
      </c>
      <c r="N120" s="34" t="e">
        <f t="shared" si="114"/>
        <v>#DIV/0!</v>
      </c>
      <c r="O120" s="34" t="e">
        <f t="shared" si="114"/>
        <v>#DIV/0!</v>
      </c>
    </row>
    <row r="121" spans="9:9">
      <c r="I121" s="34"/>
    </row>
    <row r="124" ht="28.8" spans="1:1">
      <c r="A124" s="41" t="s">
        <v>53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実績_202401-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fpga.verilog.120126@gmail.com</dc:creator>
  <cp:lastModifiedBy>fpgav</cp:lastModifiedBy>
  <dcterms:created xsi:type="dcterms:W3CDTF">2021-12-25T19:23:00Z</dcterms:created>
  <dcterms:modified xsi:type="dcterms:W3CDTF">2024-09-20T08:02:13Z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7F290E0353CA4722A3C296D208C9F91D</vt:lpwstr>
  </property>
</Properties>
</file>